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drawings/drawing2.xml" ContentType="application/vnd.openxmlformats-officedocument.drawing+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drawings/drawing3.xml" ContentType="application/vnd.openxmlformats-officedocument.drawing+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drawings/drawing4.xml" ContentType="application/vnd.openxmlformats-officedocument.drawing+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drawings/drawing5.xml" ContentType="application/vnd.openxmlformats-officedocument.drawing+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drawings/drawing6.xml" ContentType="application/vnd.openxmlformats-officedocument.drawing+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drawings/drawing7.xml" ContentType="application/vnd.openxmlformats-officedocument.drawing+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drawings/drawing8.xml" ContentType="application/vnd.openxmlformats-officedocument.drawing+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drawings/drawing9.xml" ContentType="application/vnd.openxmlformats-officedocument.drawing+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drawings/drawing10.xml" ContentType="application/vnd.openxmlformats-officedocument.drawing+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tables/table114.xml" ContentType="application/vnd.openxmlformats-officedocument.spreadsheetml.table+xml"/>
  <Override PartName="/xl/tables/table115.xml" ContentType="application/vnd.openxmlformats-officedocument.spreadsheetml.table+xml"/>
  <Override PartName="/xl/tables/table116.xml" ContentType="application/vnd.openxmlformats-officedocument.spreadsheetml.table+xml"/>
  <Override PartName="/xl/tables/table117.xml" ContentType="application/vnd.openxmlformats-officedocument.spreadsheetml.table+xml"/>
  <Override PartName="/xl/tables/table118.xml" ContentType="application/vnd.openxmlformats-officedocument.spreadsheetml.table+xml"/>
  <Override PartName="/xl/tables/table119.xml" ContentType="application/vnd.openxmlformats-officedocument.spreadsheetml.table+xml"/>
  <Override PartName="/xl/tables/table120.xml" ContentType="application/vnd.openxmlformats-officedocument.spreadsheetml.table+xml"/>
  <Override PartName="/xl/drawings/drawing11.xml" ContentType="application/vnd.openxmlformats-officedocument.drawing+xml"/>
  <Override PartName="/xl/tables/table121.xml" ContentType="application/vnd.openxmlformats-officedocument.spreadsheetml.table+xml"/>
  <Override PartName="/xl/tables/table122.xml" ContentType="application/vnd.openxmlformats-officedocument.spreadsheetml.table+xml"/>
  <Override PartName="/xl/tables/table123.xml" ContentType="application/vnd.openxmlformats-officedocument.spreadsheetml.table+xml"/>
  <Override PartName="/xl/tables/table124.xml" ContentType="application/vnd.openxmlformats-officedocument.spreadsheetml.table+xml"/>
  <Override PartName="/xl/tables/table125.xml" ContentType="application/vnd.openxmlformats-officedocument.spreadsheetml.table+xml"/>
  <Override PartName="/xl/tables/table126.xml" ContentType="application/vnd.openxmlformats-officedocument.spreadsheetml.table+xml"/>
  <Override PartName="/xl/tables/table127.xml" ContentType="application/vnd.openxmlformats-officedocument.spreadsheetml.table+xml"/>
  <Override PartName="/xl/tables/table128.xml" ContentType="application/vnd.openxmlformats-officedocument.spreadsheetml.table+xml"/>
  <Override PartName="/xl/tables/table129.xml" ContentType="application/vnd.openxmlformats-officedocument.spreadsheetml.table+xml"/>
  <Override PartName="/xl/tables/table130.xml" ContentType="application/vnd.openxmlformats-officedocument.spreadsheetml.table+xml"/>
  <Override PartName="/xl/tables/table131.xml" ContentType="application/vnd.openxmlformats-officedocument.spreadsheetml.table+xml"/>
  <Override PartName="/xl/tables/table132.xml" ContentType="application/vnd.openxmlformats-officedocument.spreadsheetml.table+xml"/>
  <Override PartName="/xl/drawings/drawing12.xml" ContentType="application/vnd.openxmlformats-officedocument.drawing+xml"/>
  <Override PartName="/xl/tables/table133.xml" ContentType="application/vnd.openxmlformats-officedocument.spreadsheetml.table+xml"/>
  <Override PartName="/xl/tables/table134.xml" ContentType="application/vnd.openxmlformats-officedocument.spreadsheetml.table+xml"/>
  <Override PartName="/xl/tables/table135.xml" ContentType="application/vnd.openxmlformats-officedocument.spreadsheetml.table+xml"/>
  <Override PartName="/xl/tables/table136.xml" ContentType="application/vnd.openxmlformats-officedocument.spreadsheetml.table+xml"/>
  <Override PartName="/xl/tables/table137.xml" ContentType="application/vnd.openxmlformats-officedocument.spreadsheetml.table+xml"/>
  <Override PartName="/xl/tables/table138.xml" ContentType="application/vnd.openxmlformats-officedocument.spreadsheetml.table+xml"/>
  <Override PartName="/xl/tables/table139.xml" ContentType="application/vnd.openxmlformats-officedocument.spreadsheetml.table+xml"/>
  <Override PartName="/xl/tables/table140.xml" ContentType="application/vnd.openxmlformats-officedocument.spreadsheetml.table+xml"/>
  <Override PartName="/xl/tables/table141.xml" ContentType="application/vnd.openxmlformats-officedocument.spreadsheetml.table+xml"/>
  <Override PartName="/xl/tables/table142.xml" ContentType="application/vnd.openxmlformats-officedocument.spreadsheetml.table+xml"/>
  <Override PartName="/xl/tables/table143.xml" ContentType="application/vnd.openxmlformats-officedocument.spreadsheetml.table+xml"/>
  <Override PartName="/xl/tables/table144.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0490" windowHeight="7755" tabRatio="844" activeTab="12"/>
  </bookViews>
  <sheets>
    <sheet name="INFO" sheetId="2" r:id="rId1"/>
    <sheet name="ENERO" sheetId="15" r:id="rId2"/>
    <sheet name="FEBRERO" sheetId="5" r:id="rId3"/>
    <sheet name="MARZO" sheetId="6" r:id="rId4"/>
    <sheet name="ABRIL" sheetId="7" r:id="rId5"/>
    <sheet name="MAYO" sheetId="9" r:id="rId6"/>
    <sheet name="JUNIO" sheetId="10" r:id="rId7"/>
    <sheet name="JULIO" sheetId="12" r:id="rId8"/>
    <sheet name="AGOSTO" sheetId="13" r:id="rId9"/>
    <sheet name="SEPTIEMBRE" sheetId="14" r:id="rId10"/>
    <sheet name="OCTUBRE" sheetId="3" r:id="rId11"/>
    <sheet name="NOVIEMBRE" sheetId="16" r:id="rId12"/>
    <sheet name="DICIEMBRE" sheetId="17" r:id="rId13"/>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6" i="15" l="1"/>
  <c r="E59" i="17" l="1"/>
  <c r="E60" i="17"/>
  <c r="E61" i="17"/>
  <c r="E62" i="17"/>
  <c r="E63" i="17"/>
  <c r="E64" i="17"/>
  <c r="E65" i="17"/>
  <c r="E66" i="17"/>
  <c r="D66" i="17"/>
  <c r="C66" i="17"/>
  <c r="J61" i="17"/>
  <c r="J63" i="17"/>
  <c r="J65" i="17"/>
  <c r="J55" i="17"/>
  <c r="J56" i="17"/>
  <c r="J57" i="17"/>
  <c r="J58" i="17"/>
  <c r="J59" i="17"/>
  <c r="E51" i="17"/>
  <c r="E52" i="17"/>
  <c r="E53" i="17"/>
  <c r="E54" i="17"/>
  <c r="E55" i="17"/>
  <c r="E56" i="17"/>
  <c r="D56" i="17"/>
  <c r="C56" i="17"/>
  <c r="J49" i="17"/>
  <c r="J50" i="17"/>
  <c r="J51" i="17"/>
  <c r="J52" i="17"/>
  <c r="H52" i="17"/>
  <c r="E45" i="17"/>
  <c r="E46" i="17"/>
  <c r="E47" i="17"/>
  <c r="E48" i="17"/>
  <c r="D48" i="17"/>
  <c r="C48" i="17"/>
  <c r="J43" i="17"/>
  <c r="J44" i="17"/>
  <c r="J45" i="17"/>
  <c r="J46" i="17"/>
  <c r="E38" i="17"/>
  <c r="E39" i="17"/>
  <c r="E40" i="17"/>
  <c r="E41" i="17"/>
  <c r="E42" i="17"/>
  <c r="D42" i="17"/>
  <c r="C42" i="17"/>
  <c r="J36" i="17"/>
  <c r="J37" i="17"/>
  <c r="J38" i="17"/>
  <c r="J39" i="17"/>
  <c r="J40" i="17"/>
  <c r="E28" i="17"/>
  <c r="E29" i="17"/>
  <c r="E30" i="17"/>
  <c r="E31" i="17"/>
  <c r="E32" i="17"/>
  <c r="E33" i="17"/>
  <c r="E34" i="17"/>
  <c r="E35" i="17"/>
  <c r="D35" i="17"/>
  <c r="C35" i="17"/>
  <c r="J27" i="17"/>
  <c r="J28" i="17"/>
  <c r="J29" i="17"/>
  <c r="J30" i="17"/>
  <c r="J31" i="17"/>
  <c r="J32" i="17"/>
  <c r="J33" i="17"/>
  <c r="E15" i="17"/>
  <c r="E16" i="17"/>
  <c r="E17" i="17"/>
  <c r="E18" i="17"/>
  <c r="E19" i="17"/>
  <c r="E20" i="17"/>
  <c r="E21" i="17"/>
  <c r="E22" i="17"/>
  <c r="E23" i="17"/>
  <c r="E24" i="17"/>
  <c r="E25" i="17"/>
  <c r="D25" i="17"/>
  <c r="C25" i="17"/>
  <c r="J15" i="17"/>
  <c r="J16" i="17"/>
  <c r="J17" i="17"/>
  <c r="J18" i="17"/>
  <c r="J19" i="17"/>
  <c r="J20" i="17"/>
  <c r="J21" i="17"/>
  <c r="J22" i="17"/>
  <c r="J23" i="17"/>
  <c r="J24" i="17"/>
  <c r="C12" i="17"/>
  <c r="H6" i="17"/>
  <c r="C7" i="17"/>
  <c r="H4" i="17"/>
  <c r="H8" i="17"/>
  <c r="E59" i="16"/>
  <c r="E60" i="16"/>
  <c r="E61" i="16"/>
  <c r="E62" i="16"/>
  <c r="E63" i="16"/>
  <c r="E64" i="16"/>
  <c r="E65" i="16"/>
  <c r="E66" i="16"/>
  <c r="D66" i="16"/>
  <c r="C66" i="16"/>
  <c r="J61" i="16"/>
  <c r="J63" i="16"/>
  <c r="J65" i="16"/>
  <c r="J55" i="16"/>
  <c r="J56" i="16"/>
  <c r="J57" i="16"/>
  <c r="J58" i="16"/>
  <c r="J59" i="16"/>
  <c r="E51" i="16"/>
  <c r="E52" i="16"/>
  <c r="E53" i="16"/>
  <c r="E54" i="16"/>
  <c r="E55" i="16"/>
  <c r="E56" i="16"/>
  <c r="D56" i="16"/>
  <c r="C56" i="16"/>
  <c r="J49" i="16"/>
  <c r="J50" i="16"/>
  <c r="J51" i="16"/>
  <c r="J52" i="16"/>
  <c r="H52" i="16"/>
  <c r="E45" i="16"/>
  <c r="E46" i="16"/>
  <c r="E47" i="16"/>
  <c r="E48" i="16"/>
  <c r="D48" i="16"/>
  <c r="C48" i="16"/>
  <c r="J43" i="16"/>
  <c r="J44" i="16"/>
  <c r="J45" i="16"/>
  <c r="J46" i="16"/>
  <c r="E38" i="16"/>
  <c r="E39" i="16"/>
  <c r="E40" i="16"/>
  <c r="E41" i="16"/>
  <c r="E42" i="16"/>
  <c r="D42" i="16"/>
  <c r="C42" i="16"/>
  <c r="J36" i="16"/>
  <c r="J37" i="16"/>
  <c r="J38" i="16"/>
  <c r="J39" i="16"/>
  <c r="J40" i="16"/>
  <c r="E28" i="16"/>
  <c r="E29" i="16"/>
  <c r="E30" i="16"/>
  <c r="E31" i="16"/>
  <c r="E32" i="16"/>
  <c r="E33" i="16"/>
  <c r="E34" i="16"/>
  <c r="E35" i="16"/>
  <c r="D35" i="16"/>
  <c r="C35" i="16"/>
  <c r="J27" i="16"/>
  <c r="J28" i="16"/>
  <c r="J29" i="16"/>
  <c r="J30" i="16"/>
  <c r="J31" i="16"/>
  <c r="J32" i="16"/>
  <c r="J33" i="16"/>
  <c r="E15" i="16"/>
  <c r="E16" i="16"/>
  <c r="E17" i="16"/>
  <c r="E18" i="16"/>
  <c r="E19" i="16"/>
  <c r="E20" i="16"/>
  <c r="E21" i="16"/>
  <c r="E22" i="16"/>
  <c r="E23" i="16"/>
  <c r="E24" i="16"/>
  <c r="E25" i="16"/>
  <c r="D25" i="16"/>
  <c r="C25" i="16"/>
  <c r="J15" i="16"/>
  <c r="J16" i="16"/>
  <c r="J17" i="16"/>
  <c r="J18" i="16"/>
  <c r="J19" i="16"/>
  <c r="J20" i="16"/>
  <c r="J21" i="16"/>
  <c r="J22" i="16"/>
  <c r="J23" i="16"/>
  <c r="J24" i="16"/>
  <c r="C12" i="16"/>
  <c r="H6" i="16"/>
  <c r="C7" i="16"/>
  <c r="H4" i="16"/>
  <c r="H8" i="16"/>
  <c r="E59" i="15"/>
  <c r="E61" i="15"/>
  <c r="E62" i="15"/>
  <c r="E63" i="15"/>
  <c r="E64" i="15"/>
  <c r="E65" i="15"/>
  <c r="E66" i="15"/>
  <c r="D66" i="15"/>
  <c r="C66" i="15"/>
  <c r="J61" i="15"/>
  <c r="J63" i="15"/>
  <c r="E52" i="15"/>
  <c r="E53" i="15"/>
  <c r="E54" i="15"/>
  <c r="E55" i="15"/>
  <c r="E56" i="15"/>
  <c r="D56" i="15"/>
  <c r="C56" i="15"/>
  <c r="J52" i="15"/>
  <c r="H52" i="15"/>
  <c r="E46" i="15"/>
  <c r="E47" i="15"/>
  <c r="E48" i="15"/>
  <c r="D48" i="15"/>
  <c r="C48" i="15"/>
  <c r="J43" i="15"/>
  <c r="J44" i="15"/>
  <c r="J45" i="15"/>
  <c r="J46" i="15"/>
  <c r="E41" i="15"/>
  <c r="E42" i="15"/>
  <c r="D42" i="15"/>
  <c r="C42" i="15"/>
  <c r="J36" i="15"/>
  <c r="J37" i="15"/>
  <c r="J38" i="15"/>
  <c r="J39" i="15"/>
  <c r="J40" i="15"/>
  <c r="E28" i="15"/>
  <c r="E29" i="15"/>
  <c r="E30" i="15"/>
  <c r="E31" i="15"/>
  <c r="E33" i="15"/>
  <c r="E34" i="15"/>
  <c r="E35" i="15"/>
  <c r="D35" i="15"/>
  <c r="C35" i="15"/>
  <c r="J28" i="15"/>
  <c r="J30" i="15"/>
  <c r="J31" i="15"/>
  <c r="J32" i="15"/>
  <c r="J33" i="15"/>
  <c r="E19" i="15"/>
  <c r="E20" i="15"/>
  <c r="E21" i="15"/>
  <c r="E22" i="15"/>
  <c r="E23" i="15"/>
  <c r="E25" i="15"/>
  <c r="D25" i="15"/>
  <c r="C25" i="15"/>
  <c r="J17" i="15"/>
  <c r="J18" i="15"/>
  <c r="J19" i="15"/>
  <c r="J20" i="15"/>
  <c r="J21" i="15"/>
  <c r="J22" i="15"/>
  <c r="J23" i="15"/>
  <c r="J24" i="15"/>
  <c r="E59" i="14"/>
  <c r="E60" i="14"/>
  <c r="E61" i="14"/>
  <c r="E62" i="14"/>
  <c r="E63" i="14"/>
  <c r="E64" i="14"/>
  <c r="E65" i="14"/>
  <c r="E66" i="14"/>
  <c r="D66" i="14"/>
  <c r="C66" i="14"/>
  <c r="J61" i="14"/>
  <c r="J63" i="14"/>
  <c r="J65" i="14"/>
  <c r="J55" i="14"/>
  <c r="J56" i="14"/>
  <c r="J57" i="14"/>
  <c r="J58" i="14"/>
  <c r="J59" i="14"/>
  <c r="E51" i="14"/>
  <c r="E52" i="14"/>
  <c r="E53" i="14"/>
  <c r="E54" i="14"/>
  <c r="E55" i="14"/>
  <c r="E56" i="14"/>
  <c r="D56" i="14"/>
  <c r="C56" i="14"/>
  <c r="J49" i="14"/>
  <c r="J50" i="14"/>
  <c r="J51" i="14"/>
  <c r="J52" i="14"/>
  <c r="H52" i="14"/>
  <c r="E45" i="14"/>
  <c r="E46" i="14"/>
  <c r="E47" i="14"/>
  <c r="E48" i="14"/>
  <c r="D48" i="14"/>
  <c r="C48" i="14"/>
  <c r="J43" i="14"/>
  <c r="J44" i="14"/>
  <c r="J45" i="14"/>
  <c r="J46" i="14"/>
  <c r="E38" i="14"/>
  <c r="E39" i="14"/>
  <c r="E40" i="14"/>
  <c r="E41" i="14"/>
  <c r="E42" i="14"/>
  <c r="D42" i="14"/>
  <c r="C42" i="14"/>
  <c r="J36" i="14"/>
  <c r="J37" i="14"/>
  <c r="J38" i="14"/>
  <c r="J39" i="14"/>
  <c r="J40" i="14"/>
  <c r="E28" i="14"/>
  <c r="E29" i="14"/>
  <c r="E30" i="14"/>
  <c r="E31" i="14"/>
  <c r="E32" i="14"/>
  <c r="E33" i="14"/>
  <c r="E34" i="14"/>
  <c r="E35" i="14"/>
  <c r="D35" i="14"/>
  <c r="C35" i="14"/>
  <c r="J27" i="14"/>
  <c r="J28" i="14"/>
  <c r="J29" i="14"/>
  <c r="J30" i="14"/>
  <c r="J31" i="14"/>
  <c r="J32" i="14"/>
  <c r="J33" i="14"/>
  <c r="E15" i="14"/>
  <c r="E16" i="14"/>
  <c r="E17" i="14"/>
  <c r="E18" i="14"/>
  <c r="E19" i="14"/>
  <c r="E20" i="14"/>
  <c r="E21" i="14"/>
  <c r="E22" i="14"/>
  <c r="E23" i="14"/>
  <c r="E24" i="14"/>
  <c r="E25" i="14"/>
  <c r="D25" i="14"/>
  <c r="C25" i="14"/>
  <c r="J15" i="14"/>
  <c r="J16" i="14"/>
  <c r="J17" i="14"/>
  <c r="J18" i="14"/>
  <c r="J19" i="14"/>
  <c r="J20" i="14"/>
  <c r="J21" i="14"/>
  <c r="J22" i="14"/>
  <c r="J23" i="14"/>
  <c r="J24" i="14"/>
  <c r="C12" i="14"/>
  <c r="H6" i="14"/>
  <c r="C7" i="14"/>
  <c r="H4" i="14"/>
  <c r="H8" i="14"/>
  <c r="E59" i="13"/>
  <c r="E60" i="13"/>
  <c r="E61" i="13"/>
  <c r="E62" i="13"/>
  <c r="E63" i="13"/>
  <c r="E64" i="13"/>
  <c r="E65" i="13"/>
  <c r="E66" i="13"/>
  <c r="D66" i="13"/>
  <c r="C66" i="13"/>
  <c r="J61" i="13"/>
  <c r="J63" i="13"/>
  <c r="J65" i="13"/>
  <c r="J55" i="13"/>
  <c r="J56" i="13"/>
  <c r="J57" i="13"/>
  <c r="J58" i="13"/>
  <c r="J59" i="13"/>
  <c r="E51" i="13"/>
  <c r="E52" i="13"/>
  <c r="E53" i="13"/>
  <c r="E54" i="13"/>
  <c r="E55" i="13"/>
  <c r="E56" i="13"/>
  <c r="D56" i="13"/>
  <c r="C56" i="13"/>
  <c r="J49" i="13"/>
  <c r="J50" i="13"/>
  <c r="J51" i="13"/>
  <c r="J52" i="13"/>
  <c r="H52" i="13"/>
  <c r="E45" i="13"/>
  <c r="E46" i="13"/>
  <c r="E47" i="13"/>
  <c r="E48" i="13"/>
  <c r="D48" i="13"/>
  <c r="C48" i="13"/>
  <c r="J43" i="13"/>
  <c r="J44" i="13"/>
  <c r="J45" i="13"/>
  <c r="J46" i="13"/>
  <c r="E38" i="13"/>
  <c r="E39" i="13"/>
  <c r="E40" i="13"/>
  <c r="E41" i="13"/>
  <c r="E42" i="13"/>
  <c r="D42" i="13"/>
  <c r="C42" i="13"/>
  <c r="J36" i="13"/>
  <c r="J37" i="13"/>
  <c r="J38" i="13"/>
  <c r="J39" i="13"/>
  <c r="J40" i="13"/>
  <c r="E28" i="13"/>
  <c r="E29" i="13"/>
  <c r="E30" i="13"/>
  <c r="E31" i="13"/>
  <c r="E32" i="13"/>
  <c r="E33" i="13"/>
  <c r="E34" i="13"/>
  <c r="E35" i="13"/>
  <c r="D35" i="13"/>
  <c r="C35" i="13"/>
  <c r="J27" i="13"/>
  <c r="J28" i="13"/>
  <c r="J29" i="13"/>
  <c r="J30" i="13"/>
  <c r="J31" i="13"/>
  <c r="J32" i="13"/>
  <c r="J33" i="13"/>
  <c r="E15" i="13"/>
  <c r="E16" i="13"/>
  <c r="E17" i="13"/>
  <c r="E18" i="13"/>
  <c r="E19" i="13"/>
  <c r="E20" i="13"/>
  <c r="E21" i="13"/>
  <c r="E22" i="13"/>
  <c r="E23" i="13"/>
  <c r="E24" i="13"/>
  <c r="E25" i="13"/>
  <c r="D25" i="13"/>
  <c r="C25" i="13"/>
  <c r="J15" i="13"/>
  <c r="J16" i="13"/>
  <c r="J17" i="13"/>
  <c r="J18" i="13"/>
  <c r="J19" i="13"/>
  <c r="J20" i="13"/>
  <c r="J21" i="13"/>
  <c r="J22" i="13"/>
  <c r="J23" i="13"/>
  <c r="J24" i="13"/>
  <c r="C12" i="13"/>
  <c r="H6" i="13"/>
  <c r="C7" i="13"/>
  <c r="H4" i="13"/>
  <c r="H8" i="13"/>
  <c r="E59" i="12"/>
  <c r="E60" i="12"/>
  <c r="E61" i="12"/>
  <c r="E62" i="12"/>
  <c r="E63" i="12"/>
  <c r="E64" i="12"/>
  <c r="E65" i="12"/>
  <c r="E66" i="12"/>
  <c r="D66" i="12"/>
  <c r="C66" i="12"/>
  <c r="J61" i="12"/>
  <c r="J63" i="12"/>
  <c r="J65" i="12"/>
  <c r="J55" i="12"/>
  <c r="J56" i="12"/>
  <c r="J57" i="12"/>
  <c r="J58" i="12"/>
  <c r="J59" i="12"/>
  <c r="E51" i="12"/>
  <c r="E52" i="12"/>
  <c r="E53" i="12"/>
  <c r="E54" i="12"/>
  <c r="E55" i="12"/>
  <c r="E56" i="12"/>
  <c r="D56" i="12"/>
  <c r="C56" i="12"/>
  <c r="J49" i="12"/>
  <c r="J50" i="12"/>
  <c r="J51" i="12"/>
  <c r="J52" i="12"/>
  <c r="H52" i="12"/>
  <c r="E45" i="12"/>
  <c r="E46" i="12"/>
  <c r="E47" i="12"/>
  <c r="E48" i="12"/>
  <c r="D48" i="12"/>
  <c r="C48" i="12"/>
  <c r="J43" i="12"/>
  <c r="J44" i="12"/>
  <c r="J45" i="12"/>
  <c r="J46" i="12"/>
  <c r="E38" i="12"/>
  <c r="E39" i="12"/>
  <c r="E40" i="12"/>
  <c r="E41" i="12"/>
  <c r="E42" i="12"/>
  <c r="D42" i="12"/>
  <c r="C42" i="12"/>
  <c r="J36" i="12"/>
  <c r="J37" i="12"/>
  <c r="J38" i="12"/>
  <c r="J39" i="12"/>
  <c r="J40" i="12"/>
  <c r="E28" i="12"/>
  <c r="E29" i="12"/>
  <c r="E30" i="12"/>
  <c r="E31" i="12"/>
  <c r="E32" i="12"/>
  <c r="E33" i="12"/>
  <c r="E34" i="12"/>
  <c r="E35" i="12"/>
  <c r="D35" i="12"/>
  <c r="C35" i="12"/>
  <c r="J27" i="12"/>
  <c r="J28" i="12"/>
  <c r="J29" i="12"/>
  <c r="J30" i="12"/>
  <c r="J31" i="12"/>
  <c r="J32" i="12"/>
  <c r="J33" i="12"/>
  <c r="E15" i="12"/>
  <c r="E16" i="12"/>
  <c r="E17" i="12"/>
  <c r="E18" i="12"/>
  <c r="E19" i="12"/>
  <c r="E20" i="12"/>
  <c r="E21" i="12"/>
  <c r="E22" i="12"/>
  <c r="E23" i="12"/>
  <c r="E24" i="12"/>
  <c r="E25" i="12"/>
  <c r="D25" i="12"/>
  <c r="C25" i="12"/>
  <c r="J15" i="12"/>
  <c r="J16" i="12"/>
  <c r="J17" i="12"/>
  <c r="J18" i="12"/>
  <c r="J19" i="12"/>
  <c r="J20" i="12"/>
  <c r="J21" i="12"/>
  <c r="J22" i="12"/>
  <c r="J23" i="12"/>
  <c r="J24" i="12"/>
  <c r="C12" i="12"/>
  <c r="H6" i="12"/>
  <c r="C7" i="12"/>
  <c r="H4" i="12"/>
  <c r="H8" i="12"/>
  <c r="E59" i="10"/>
  <c r="E60" i="10"/>
  <c r="E61" i="10"/>
  <c r="E62" i="10"/>
  <c r="E63" i="10"/>
  <c r="E64" i="10"/>
  <c r="E65" i="10"/>
  <c r="E66" i="10"/>
  <c r="D66" i="10"/>
  <c r="C66" i="10"/>
  <c r="J61" i="10"/>
  <c r="J63" i="10"/>
  <c r="J65" i="10"/>
  <c r="J55" i="10"/>
  <c r="J56" i="10"/>
  <c r="J57" i="10"/>
  <c r="J58" i="10"/>
  <c r="J59" i="10"/>
  <c r="E51" i="10"/>
  <c r="E52" i="10"/>
  <c r="E53" i="10"/>
  <c r="E54" i="10"/>
  <c r="E55" i="10"/>
  <c r="E56" i="10"/>
  <c r="D56" i="10"/>
  <c r="C56" i="10"/>
  <c r="J49" i="10"/>
  <c r="J50" i="10"/>
  <c r="J51" i="10"/>
  <c r="J52" i="10"/>
  <c r="H52" i="10"/>
  <c r="E45" i="10"/>
  <c r="E46" i="10"/>
  <c r="E47" i="10"/>
  <c r="E48" i="10"/>
  <c r="D48" i="10"/>
  <c r="C48" i="10"/>
  <c r="J43" i="10"/>
  <c r="J44" i="10"/>
  <c r="J45" i="10"/>
  <c r="J46" i="10"/>
  <c r="E38" i="10"/>
  <c r="E39" i="10"/>
  <c r="E40" i="10"/>
  <c r="E41" i="10"/>
  <c r="E42" i="10"/>
  <c r="D42" i="10"/>
  <c r="C42" i="10"/>
  <c r="J36" i="10"/>
  <c r="J37" i="10"/>
  <c r="J38" i="10"/>
  <c r="J39" i="10"/>
  <c r="J40" i="10"/>
  <c r="E28" i="10"/>
  <c r="E29" i="10"/>
  <c r="E30" i="10"/>
  <c r="E31" i="10"/>
  <c r="E32" i="10"/>
  <c r="E33" i="10"/>
  <c r="E34" i="10"/>
  <c r="E35" i="10"/>
  <c r="D35" i="10"/>
  <c r="C35" i="10"/>
  <c r="J27" i="10"/>
  <c r="J28" i="10"/>
  <c r="J29" i="10"/>
  <c r="J30" i="10"/>
  <c r="J31" i="10"/>
  <c r="J32" i="10"/>
  <c r="J33" i="10"/>
  <c r="E15" i="10"/>
  <c r="E16" i="10"/>
  <c r="E17" i="10"/>
  <c r="E18" i="10"/>
  <c r="E19" i="10"/>
  <c r="E20" i="10"/>
  <c r="E21" i="10"/>
  <c r="E22" i="10"/>
  <c r="E23" i="10"/>
  <c r="E24" i="10"/>
  <c r="E25" i="10"/>
  <c r="D25" i="10"/>
  <c r="C25" i="10"/>
  <c r="J15" i="10"/>
  <c r="J16" i="10"/>
  <c r="J17" i="10"/>
  <c r="J18" i="10"/>
  <c r="J19" i="10"/>
  <c r="J20" i="10"/>
  <c r="J21" i="10"/>
  <c r="J22" i="10"/>
  <c r="J23" i="10"/>
  <c r="J24" i="10"/>
  <c r="C12" i="10"/>
  <c r="H6" i="10"/>
  <c r="C7" i="10"/>
  <c r="H4" i="10"/>
  <c r="H8" i="10"/>
  <c r="E59" i="9"/>
  <c r="E60" i="9"/>
  <c r="E61" i="9"/>
  <c r="E62" i="9"/>
  <c r="E63" i="9"/>
  <c r="E64" i="9"/>
  <c r="E65" i="9"/>
  <c r="E66" i="9"/>
  <c r="D66" i="9"/>
  <c r="C66" i="9"/>
  <c r="J61" i="9"/>
  <c r="J63" i="9"/>
  <c r="J65" i="9"/>
  <c r="J55" i="9"/>
  <c r="J56" i="9"/>
  <c r="J57" i="9"/>
  <c r="J58" i="9"/>
  <c r="J59" i="9"/>
  <c r="E51" i="9"/>
  <c r="E52" i="9"/>
  <c r="E53" i="9"/>
  <c r="E54" i="9"/>
  <c r="E55" i="9"/>
  <c r="E56" i="9"/>
  <c r="D56" i="9"/>
  <c r="C56" i="9"/>
  <c r="J49" i="9"/>
  <c r="J50" i="9"/>
  <c r="J51" i="9"/>
  <c r="J52" i="9"/>
  <c r="H52" i="9"/>
  <c r="E45" i="9"/>
  <c r="E46" i="9"/>
  <c r="E47" i="9"/>
  <c r="E48" i="9"/>
  <c r="D48" i="9"/>
  <c r="C48" i="9"/>
  <c r="J43" i="9"/>
  <c r="J44" i="9"/>
  <c r="J45" i="9"/>
  <c r="J46" i="9"/>
  <c r="E38" i="9"/>
  <c r="E39" i="9"/>
  <c r="E40" i="9"/>
  <c r="E41" i="9"/>
  <c r="E42" i="9"/>
  <c r="D42" i="9"/>
  <c r="C42" i="9"/>
  <c r="J36" i="9"/>
  <c r="J37" i="9"/>
  <c r="J38" i="9"/>
  <c r="J39" i="9"/>
  <c r="J40" i="9"/>
  <c r="E28" i="9"/>
  <c r="E29" i="9"/>
  <c r="E30" i="9"/>
  <c r="E31" i="9"/>
  <c r="E32" i="9"/>
  <c r="E33" i="9"/>
  <c r="E34" i="9"/>
  <c r="E35" i="9"/>
  <c r="D35" i="9"/>
  <c r="C35" i="9"/>
  <c r="J27" i="9"/>
  <c r="J28" i="9"/>
  <c r="J29" i="9"/>
  <c r="J30" i="9"/>
  <c r="J31" i="9"/>
  <c r="J32" i="9"/>
  <c r="J33" i="9"/>
  <c r="E15" i="9"/>
  <c r="E16" i="9"/>
  <c r="E17" i="9"/>
  <c r="E18" i="9"/>
  <c r="E19" i="9"/>
  <c r="E20" i="9"/>
  <c r="E21" i="9"/>
  <c r="E22" i="9"/>
  <c r="E23" i="9"/>
  <c r="E24" i="9"/>
  <c r="E25" i="9"/>
  <c r="D25" i="9"/>
  <c r="C25" i="9"/>
  <c r="J15" i="9"/>
  <c r="J16" i="9"/>
  <c r="J17" i="9"/>
  <c r="J18" i="9"/>
  <c r="J19" i="9"/>
  <c r="J20" i="9"/>
  <c r="J21" i="9"/>
  <c r="J22" i="9"/>
  <c r="J23" i="9"/>
  <c r="J24" i="9"/>
  <c r="C12" i="9"/>
  <c r="H6" i="9"/>
  <c r="C7" i="9"/>
  <c r="H4" i="9"/>
  <c r="H8" i="9"/>
  <c r="E59" i="7"/>
  <c r="E60" i="7"/>
  <c r="E61" i="7"/>
  <c r="E62" i="7"/>
  <c r="E63" i="7"/>
  <c r="E64" i="7"/>
  <c r="E65" i="7"/>
  <c r="E66" i="7"/>
  <c r="D66" i="7"/>
  <c r="C66" i="7"/>
  <c r="J61" i="7"/>
  <c r="J63" i="7"/>
  <c r="J65" i="7"/>
  <c r="J55" i="7"/>
  <c r="J56" i="7"/>
  <c r="J57" i="7"/>
  <c r="J58" i="7"/>
  <c r="J59" i="7"/>
  <c r="E51" i="7"/>
  <c r="E52" i="7"/>
  <c r="E53" i="7"/>
  <c r="E54" i="7"/>
  <c r="E55" i="7"/>
  <c r="E56" i="7"/>
  <c r="D56" i="7"/>
  <c r="C56" i="7"/>
  <c r="J49" i="7"/>
  <c r="J50" i="7"/>
  <c r="J51" i="7"/>
  <c r="J52" i="7"/>
  <c r="H52" i="7"/>
  <c r="E45" i="7"/>
  <c r="E46" i="7"/>
  <c r="E47" i="7"/>
  <c r="E48" i="7"/>
  <c r="D48" i="7"/>
  <c r="C48" i="7"/>
  <c r="J43" i="7"/>
  <c r="J44" i="7"/>
  <c r="J45" i="7"/>
  <c r="J46" i="7"/>
  <c r="E38" i="7"/>
  <c r="E39" i="7"/>
  <c r="E40" i="7"/>
  <c r="E41" i="7"/>
  <c r="E42" i="7"/>
  <c r="D42" i="7"/>
  <c r="C42" i="7"/>
  <c r="J36" i="7"/>
  <c r="J37" i="7"/>
  <c r="J38" i="7"/>
  <c r="J39" i="7"/>
  <c r="J40" i="7"/>
  <c r="E28" i="7"/>
  <c r="E29" i="7"/>
  <c r="E30" i="7"/>
  <c r="E31" i="7"/>
  <c r="E32" i="7"/>
  <c r="E33" i="7"/>
  <c r="E34" i="7"/>
  <c r="E35" i="7"/>
  <c r="D35" i="7"/>
  <c r="C35" i="7"/>
  <c r="J27" i="7"/>
  <c r="J28" i="7"/>
  <c r="J29" i="7"/>
  <c r="J30" i="7"/>
  <c r="J31" i="7"/>
  <c r="J32" i="7"/>
  <c r="J33" i="7"/>
  <c r="E15" i="7"/>
  <c r="E16" i="7"/>
  <c r="E17" i="7"/>
  <c r="E18" i="7"/>
  <c r="E19" i="7"/>
  <c r="E20" i="7"/>
  <c r="E21" i="7"/>
  <c r="E22" i="7"/>
  <c r="E23" i="7"/>
  <c r="E24" i="7"/>
  <c r="E25" i="7"/>
  <c r="D25" i="7"/>
  <c r="C25" i="7"/>
  <c r="J15" i="7"/>
  <c r="J16" i="7"/>
  <c r="J17" i="7"/>
  <c r="J18" i="7"/>
  <c r="J19" i="7"/>
  <c r="J20" i="7"/>
  <c r="J21" i="7"/>
  <c r="J22" i="7"/>
  <c r="J23" i="7"/>
  <c r="J24" i="7"/>
  <c r="C12" i="7"/>
  <c r="H6" i="7"/>
  <c r="C7" i="7"/>
  <c r="H4" i="7"/>
  <c r="H8" i="7"/>
  <c r="E59" i="6"/>
  <c r="E60" i="6"/>
  <c r="E61" i="6"/>
  <c r="E62" i="6"/>
  <c r="E63" i="6"/>
  <c r="E64" i="6"/>
  <c r="E65" i="6"/>
  <c r="E66" i="6"/>
  <c r="D66" i="6"/>
  <c r="C66" i="6"/>
  <c r="J61" i="6"/>
  <c r="J63" i="6"/>
  <c r="J65" i="6"/>
  <c r="J55" i="6"/>
  <c r="J56" i="6"/>
  <c r="J57" i="6"/>
  <c r="J58" i="6"/>
  <c r="J59" i="6"/>
  <c r="E51" i="6"/>
  <c r="E52" i="6"/>
  <c r="E53" i="6"/>
  <c r="E54" i="6"/>
  <c r="E55" i="6"/>
  <c r="E56" i="6"/>
  <c r="D56" i="6"/>
  <c r="C56" i="6"/>
  <c r="J49" i="6"/>
  <c r="J50" i="6"/>
  <c r="J51" i="6"/>
  <c r="J52" i="6"/>
  <c r="H52" i="6"/>
  <c r="E45" i="6"/>
  <c r="E46" i="6"/>
  <c r="E47" i="6"/>
  <c r="E48" i="6"/>
  <c r="D48" i="6"/>
  <c r="C48" i="6"/>
  <c r="J43" i="6"/>
  <c r="J44" i="6"/>
  <c r="J45" i="6"/>
  <c r="J46" i="6"/>
  <c r="E38" i="6"/>
  <c r="E39" i="6"/>
  <c r="E40" i="6"/>
  <c r="E41" i="6"/>
  <c r="E42" i="6"/>
  <c r="D42" i="6"/>
  <c r="C42" i="6"/>
  <c r="J36" i="6"/>
  <c r="J37" i="6"/>
  <c r="J38" i="6"/>
  <c r="J39" i="6"/>
  <c r="J40" i="6"/>
  <c r="E28" i="6"/>
  <c r="E29" i="6"/>
  <c r="E30" i="6"/>
  <c r="E31" i="6"/>
  <c r="E32" i="6"/>
  <c r="E33" i="6"/>
  <c r="E34" i="6"/>
  <c r="E35" i="6"/>
  <c r="D35" i="6"/>
  <c r="C35" i="6"/>
  <c r="J27" i="6"/>
  <c r="J28" i="6"/>
  <c r="J29" i="6"/>
  <c r="J30" i="6"/>
  <c r="J31" i="6"/>
  <c r="J32" i="6"/>
  <c r="J33" i="6"/>
  <c r="E15" i="6"/>
  <c r="E16" i="6"/>
  <c r="E17" i="6"/>
  <c r="E18" i="6"/>
  <c r="E19" i="6"/>
  <c r="E20" i="6"/>
  <c r="E21" i="6"/>
  <c r="E22" i="6"/>
  <c r="E23" i="6"/>
  <c r="E24" i="6"/>
  <c r="E25" i="6"/>
  <c r="D25" i="6"/>
  <c r="C25" i="6"/>
  <c r="J15" i="6"/>
  <c r="J16" i="6"/>
  <c r="J17" i="6"/>
  <c r="J18" i="6"/>
  <c r="J19" i="6"/>
  <c r="J20" i="6"/>
  <c r="J21" i="6"/>
  <c r="J22" i="6"/>
  <c r="J23" i="6"/>
  <c r="J24" i="6"/>
  <c r="C12" i="6"/>
  <c r="H6" i="6"/>
  <c r="C7" i="6"/>
  <c r="H4" i="6"/>
  <c r="H8" i="6"/>
  <c r="E59" i="5"/>
  <c r="E60" i="5"/>
  <c r="E61" i="5"/>
  <c r="E62" i="5"/>
  <c r="E63" i="5"/>
  <c r="E64" i="5"/>
  <c r="E65" i="5"/>
  <c r="E66" i="5"/>
  <c r="D66" i="5"/>
  <c r="C66" i="5"/>
  <c r="J61" i="5"/>
  <c r="J63" i="5"/>
  <c r="J65" i="5"/>
  <c r="J55" i="5"/>
  <c r="J56" i="5"/>
  <c r="J57" i="5"/>
  <c r="J58" i="5"/>
  <c r="J59" i="5"/>
  <c r="E51" i="5"/>
  <c r="E52" i="5"/>
  <c r="E53" i="5"/>
  <c r="E54" i="5"/>
  <c r="E55" i="5"/>
  <c r="E56" i="5"/>
  <c r="D56" i="5"/>
  <c r="C56" i="5"/>
  <c r="J49" i="5"/>
  <c r="J50" i="5"/>
  <c r="J51" i="5"/>
  <c r="J52" i="5"/>
  <c r="H52" i="5"/>
  <c r="E45" i="5"/>
  <c r="E46" i="5"/>
  <c r="E47" i="5"/>
  <c r="E48" i="5"/>
  <c r="D48" i="5"/>
  <c r="C48" i="5"/>
  <c r="J43" i="5"/>
  <c r="J44" i="5"/>
  <c r="J45" i="5"/>
  <c r="J46" i="5"/>
  <c r="E38" i="5"/>
  <c r="E39" i="5"/>
  <c r="E40" i="5"/>
  <c r="E41" i="5"/>
  <c r="E42" i="5"/>
  <c r="D42" i="5"/>
  <c r="C42" i="5"/>
  <c r="J36" i="5"/>
  <c r="J37" i="5"/>
  <c r="J38" i="5"/>
  <c r="J39" i="5"/>
  <c r="J40" i="5"/>
  <c r="E28" i="5"/>
  <c r="E29" i="5"/>
  <c r="E30" i="5"/>
  <c r="E31" i="5"/>
  <c r="E32" i="5"/>
  <c r="E33" i="5"/>
  <c r="E34" i="5"/>
  <c r="E35" i="5"/>
  <c r="D35" i="5"/>
  <c r="C35" i="5"/>
  <c r="J27" i="5"/>
  <c r="J28" i="5"/>
  <c r="J29" i="5"/>
  <c r="J30" i="5"/>
  <c r="J31" i="5"/>
  <c r="J32" i="5"/>
  <c r="J33" i="5"/>
  <c r="E15" i="5"/>
  <c r="E16" i="5"/>
  <c r="E17" i="5"/>
  <c r="E18" i="5"/>
  <c r="E19" i="5"/>
  <c r="E20" i="5"/>
  <c r="E21" i="5"/>
  <c r="E22" i="5"/>
  <c r="E23" i="5"/>
  <c r="E24" i="5"/>
  <c r="E25" i="5"/>
  <c r="D25" i="5"/>
  <c r="C25" i="5"/>
  <c r="J15" i="5"/>
  <c r="J16" i="5"/>
  <c r="J17" i="5"/>
  <c r="J18" i="5"/>
  <c r="J19" i="5"/>
  <c r="J20" i="5"/>
  <c r="J21" i="5"/>
  <c r="J22" i="5"/>
  <c r="J23" i="5"/>
  <c r="J24" i="5"/>
  <c r="C12" i="5"/>
  <c r="H6" i="5"/>
  <c r="C7" i="5"/>
  <c r="H4" i="5"/>
  <c r="H8" i="5"/>
  <c r="C12" i="3"/>
  <c r="J27" i="3"/>
  <c r="E18" i="3"/>
  <c r="E17" i="3"/>
  <c r="E16" i="3"/>
  <c r="E15" i="3"/>
  <c r="J51" i="3"/>
  <c r="J50" i="3"/>
  <c r="J49" i="3"/>
  <c r="D66" i="3"/>
  <c r="C66" i="3"/>
  <c r="E65" i="3"/>
  <c r="E64" i="3"/>
  <c r="J63" i="3"/>
  <c r="E63" i="3"/>
  <c r="E62" i="3"/>
  <c r="J61" i="3"/>
  <c r="E61" i="3"/>
  <c r="E60" i="3"/>
  <c r="E59" i="3"/>
  <c r="J58" i="3"/>
  <c r="J57" i="3"/>
  <c r="J56" i="3"/>
  <c r="D56" i="3"/>
  <c r="C56" i="3"/>
  <c r="J55" i="3"/>
  <c r="J59" i="3"/>
  <c r="E55" i="3"/>
  <c r="E54" i="3"/>
  <c r="E53" i="3"/>
  <c r="H52" i="3"/>
  <c r="E52" i="3"/>
  <c r="E51" i="3"/>
  <c r="D48" i="3"/>
  <c r="C48" i="3"/>
  <c r="E47" i="3"/>
  <c r="E46" i="3"/>
  <c r="J45" i="3"/>
  <c r="E45" i="3"/>
  <c r="J44" i="3"/>
  <c r="J43" i="3"/>
  <c r="J46" i="3"/>
  <c r="D42" i="3"/>
  <c r="C42" i="3"/>
  <c r="E41" i="3"/>
  <c r="E40" i="3"/>
  <c r="J39" i="3"/>
  <c r="E39" i="3"/>
  <c r="J38" i="3"/>
  <c r="J36" i="3"/>
  <c r="J37" i="3"/>
  <c r="J40" i="3"/>
  <c r="E38" i="3"/>
  <c r="D35" i="3"/>
  <c r="C35" i="3"/>
  <c r="E34" i="3"/>
  <c r="E33" i="3"/>
  <c r="J32" i="3"/>
  <c r="E32" i="3"/>
  <c r="J31" i="3"/>
  <c r="E31" i="3"/>
  <c r="J30" i="3"/>
  <c r="E30" i="3"/>
  <c r="J29" i="3"/>
  <c r="E29" i="3"/>
  <c r="J28" i="3"/>
  <c r="E28" i="3"/>
  <c r="D25" i="3"/>
  <c r="C25" i="3"/>
  <c r="E24" i="3"/>
  <c r="J23" i="3"/>
  <c r="E23" i="3"/>
  <c r="J22" i="3"/>
  <c r="E22" i="3"/>
  <c r="J21" i="3"/>
  <c r="E21" i="3"/>
  <c r="J20" i="3"/>
  <c r="E20" i="3"/>
  <c r="J19" i="3"/>
  <c r="E19" i="3"/>
  <c r="J18" i="3"/>
  <c r="J17" i="3"/>
  <c r="J16" i="3"/>
  <c r="J15" i="3"/>
  <c r="J24" i="3"/>
  <c r="C7" i="3"/>
  <c r="H6" i="3"/>
  <c r="E35" i="3"/>
  <c r="E48" i="3"/>
  <c r="J65" i="3"/>
  <c r="J33" i="3"/>
  <c r="E66" i="3"/>
  <c r="E42" i="3"/>
  <c r="J52" i="3"/>
  <c r="E56" i="3"/>
  <c r="E25" i="3"/>
  <c r="H4" i="3"/>
  <c r="H8" i="3"/>
  <c r="H6" i="15" l="1"/>
  <c r="J65" i="15"/>
  <c r="H4" i="15"/>
  <c r="H8" i="15" l="1"/>
</calcChain>
</file>

<file path=xl/sharedStrings.xml><?xml version="1.0" encoding="utf-8"?>
<sst xmlns="http://schemas.openxmlformats.org/spreadsheetml/2006/main" count="1951" uniqueCount="120">
  <si>
    <t>Use esta hoja de cálculo de presupuesto mensual personal para realizar un seguimiento de sus ingresos mensuales previstos y reales, así como de sus gastos mensuales previstos y reales.</t>
  </si>
  <si>
    <t>Escriba los gastos realizados divididos en diferentes categorías en las tablas correspondientes.</t>
  </si>
  <si>
    <t>Cree un presupuesto mensual personal en esta hoja de cálculo. Encontrará instrucciones útiles sobre cómo usar esta hoja de cálculo en las celdas de esta columna. Presione la flecha abajo para empezar.</t>
  </si>
  <si>
    <t>El título de esta hoja de cálculo se encuentra en la celda de la derecha. La instrucción siguiente se encuentra en la celda A5.</t>
  </si>
  <si>
    <t>La etiqueta Ingresos mensuales previstos se encuentra en la celda de la derecha. Escriba el Ingreso 1 en la celda C5 y el Ingreso adicional en la C6 para calcular el total de ingresos mensuales en la celda C7. La instrucción siguiente se encuentra en la celda A7.</t>
  </si>
  <si>
    <t>El saldo previsto se calcula automáticamente en la celda H4; el saldo real, en la H6; y la diferencia, en la celda H8. La instrucción siguiente se encuentra en la celda A9.</t>
  </si>
  <si>
    <t>La etiqueta Ingresos mensuales reales se encuentra en la celda de la derecha. Escriba el Ingreso 1 en la celda C10 y el Ingreso adicional en la C11 para calcular el total de ingresos mensuales en la celda C12. La instrucción siguiente se encuentra en la celda A14.</t>
  </si>
  <si>
    <t>Escriba la información en la tabla Alojamiento, empezando por la celda de la derecha y en la tabla Entretenimiento, empezando por la celda G14. La instrucción siguiente se encuentra en la celda A27.</t>
  </si>
  <si>
    <t>Escriba la información en la tabla Transporte, empezando por la celda de la derecha y en la tabla Préstamos, empezando por la celda G26. La instrucción siguiente se encuentra en la celda A37.</t>
  </si>
  <si>
    <t>Escriba la información en la tabla Seguro, empezando por la celda de la derecha y en la tabla Impuestos, empezando por la celda G35. La instrucción siguiente se encuentra en la celda A44.</t>
  </si>
  <si>
    <t>Escriba la información en la tabla Comida, empezando por la celda de la derecha y en la tabla Ahorros, empezando por la celda G42. La instrucción siguiente se encuentra en la celda A50.</t>
  </si>
  <si>
    <t>Escriba la información en la tabla Mascotas, empezando por la celda de la derecha y en la tabla Regalos, empezando por la celda G48. La instrucción siguiente se encuentra en la celda A58.</t>
  </si>
  <si>
    <t>Escriba la información en la tabla Cuidado personal, empezando por la celda de la derecha y en la tabla Legal, empezando por la celda G54. La instrucción siguiente se encuentra en la celda A61.</t>
  </si>
  <si>
    <t>El total de gastos previstos se calcula automáticamente en la celda J61; el total del gasto real, en la J63; y la diferencia total, en la celda J65.</t>
  </si>
  <si>
    <t>Ingreso 1</t>
  </si>
  <si>
    <t>Electricidad</t>
  </si>
  <si>
    <t>Gas</t>
  </si>
  <si>
    <t>Suministros</t>
  </si>
  <si>
    <t>Otros</t>
  </si>
  <si>
    <t>Subtotal</t>
  </si>
  <si>
    <t>TRANSPORTE</t>
  </si>
  <si>
    <t>Seguro</t>
  </si>
  <si>
    <t>Licencias</t>
  </si>
  <si>
    <t>Combustible</t>
  </si>
  <si>
    <t>Mantenimiento</t>
  </si>
  <si>
    <t>SEGURO</t>
  </si>
  <si>
    <t>Hogar</t>
  </si>
  <si>
    <t>Vida</t>
  </si>
  <si>
    <t>COMIDA</t>
  </si>
  <si>
    <t>Alimentos</t>
  </si>
  <si>
    <t>Restaurantes</t>
  </si>
  <si>
    <t>MASCOTAS</t>
  </si>
  <si>
    <t>Comida</t>
  </si>
  <si>
    <t>Médicos</t>
  </si>
  <si>
    <t>Limpieza</t>
  </si>
  <si>
    <t>Juguetes</t>
  </si>
  <si>
    <t>CUIDADO PERSONAL</t>
  </si>
  <si>
    <t>Ropa</t>
  </si>
  <si>
    <t>Tintorería</t>
  </si>
  <si>
    <t>Gimnasio</t>
  </si>
  <si>
    <t>Costo previsto</t>
  </si>
  <si>
    <t>Costo real</t>
  </si>
  <si>
    <t>Coste real</t>
  </si>
  <si>
    <t>Diferencia</t>
  </si>
  <si>
    <t>ENTRETENIMIENTO</t>
  </si>
  <si>
    <t>Vídeo y DVD</t>
  </si>
  <si>
    <t>CD</t>
  </si>
  <si>
    <t>Películas</t>
  </si>
  <si>
    <t>Conciertos</t>
  </si>
  <si>
    <t>Teatro</t>
  </si>
  <si>
    <t>PRÉSTAMOS</t>
  </si>
  <si>
    <t>Personal</t>
  </si>
  <si>
    <t>Estudiante</t>
  </si>
  <si>
    <t>Tarjeta de crédito</t>
  </si>
  <si>
    <t>IMPUESTOS</t>
  </si>
  <si>
    <t>Federales</t>
  </si>
  <si>
    <t>Estatales</t>
  </si>
  <si>
    <t>Locales</t>
  </si>
  <si>
    <t>AHORROS O INVERSIONES</t>
  </si>
  <si>
    <t>LEGAL</t>
  </si>
  <si>
    <t>Abogados</t>
  </si>
  <si>
    <t>Internet</t>
  </si>
  <si>
    <t>Parking</t>
  </si>
  <si>
    <t>Farmacia</t>
  </si>
  <si>
    <t xml:space="preserve">Otros </t>
  </si>
  <si>
    <t>otros</t>
  </si>
  <si>
    <t>0,00 €</t>
  </si>
  <si>
    <t>INGRESOS MENSUALES PREVISTOS</t>
  </si>
  <si>
    <t>INGRESOS MENSUALES REALES</t>
  </si>
  <si>
    <t>Ingresos Adicionales</t>
  </si>
  <si>
    <t>Total de Ingresos Mensuales</t>
  </si>
  <si>
    <t>Agua y Alcantarillado</t>
  </si>
  <si>
    <t>Televisión por Cable</t>
  </si>
  <si>
    <t>Mantenimiento o Reparaciones</t>
  </si>
  <si>
    <t>HOGAR Y VIVIENDA</t>
  </si>
  <si>
    <t>COSTO REAL</t>
  </si>
  <si>
    <t>COSTO PREVISTO</t>
  </si>
  <si>
    <t>DIFERENCIA</t>
  </si>
  <si>
    <t>Hipoteca o Alquiler</t>
  </si>
  <si>
    <t>CUIDADO DE NIÑOS</t>
  </si>
  <si>
    <t xml:space="preserve">COSTO REAL </t>
  </si>
  <si>
    <t>Recogida de Residuos</t>
  </si>
  <si>
    <t>Eventos Deportivos</t>
  </si>
  <si>
    <t>Gastos de Taxi o Bus</t>
  </si>
  <si>
    <t xml:space="preserve">Pañales </t>
  </si>
  <si>
    <t>Guarderia /Cole</t>
  </si>
  <si>
    <t>Pensión Alimenticia</t>
  </si>
  <si>
    <t>Pagos por Retención o Fallo</t>
  </si>
  <si>
    <t>Tasas o Cuotas de la Organización</t>
  </si>
  <si>
    <t>COSTO PREVISTO TOTAL</t>
  </si>
  <si>
    <t>COSTO REAL TOTAL</t>
  </si>
  <si>
    <t>DIFERENCIA TOTAL</t>
  </si>
  <si>
    <t>SALDO PREVISTO
(Ingresos previstos menos gastos)</t>
  </si>
  <si>
    <t>SALDO REAL
(Ingresos reales menos gastos)</t>
  </si>
  <si>
    <t>DIFERENCIA
(Real menos previsto)</t>
  </si>
  <si>
    <t>Pelo y Uñas</t>
  </si>
  <si>
    <t>Cuenta de Jubilación</t>
  </si>
  <si>
    <t>Cuenta de Inversión</t>
  </si>
  <si>
    <t xml:space="preserve">Salud </t>
  </si>
  <si>
    <t>Ingreso 2</t>
  </si>
  <si>
    <t>COMO UTILIZAR ESTA HOJA DE PRESUPUESTO MENSUAL</t>
  </si>
  <si>
    <t>El Saldo Previsto, el Saldo Real y la Diferencia se calculan automáticamente.</t>
  </si>
  <si>
    <t>NOTA:</t>
  </si>
  <si>
    <t xml:space="preserve">Para un analisis exhasutivo de sus finanzas sugerimos adquirir tambien nuestra planilla de ESTADO FINANCIERO PERSONAL. </t>
  </si>
  <si>
    <t>Internet trastero</t>
  </si>
  <si>
    <t>PAGO DE DEUDAS</t>
  </si>
  <si>
    <t>AAA MONI</t>
  </si>
  <si>
    <t>CARLOS ORDINO</t>
  </si>
  <si>
    <t>CASS JAVI DEZAFF</t>
  </si>
  <si>
    <t>Tarjeta My Pyry</t>
  </si>
  <si>
    <t>cumple joan</t>
  </si>
  <si>
    <t>seguro hogar</t>
  </si>
  <si>
    <t>Ingresos Adicionales Javi</t>
  </si>
  <si>
    <t>Telefono Movil sil y javi</t>
  </si>
  <si>
    <t>Arte Lena</t>
  </si>
  <si>
    <t>Ingles Lena</t>
  </si>
  <si>
    <t>Ingreso NOMINAS SIL JAVI</t>
  </si>
  <si>
    <t>Ingreso REAL</t>
  </si>
  <si>
    <t>Ingresos Adicionales REAL</t>
  </si>
  <si>
    <t>DISNEY PLUS</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</si>
</sst>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8" formatCode="#,##0.00\ &quot;€&quot;;[Red]\-#,##0.00\ &quot;€&quot;"/>
    <numFmt numFmtId="42" formatCode="_-* #,##0\ &quot;€&quot;_-;\-* #,##0\ &quot;€&quot;_-;_-* &quot;-&quot;\ &quot;€&quot;_-;_-@_-"/>
    <numFmt numFmtId="44" formatCode="_-* #,##0.00\ &quot;€&quot;_-;\-* #,##0.00\ &quot;€&quot;_-;_-* &quot;-&quot;??\ &quot;€&quot;_-;_-@_-"/>
    <numFmt numFmtId="164" formatCode="_(* #,##0_);_(* \(#,##0\);_(* &quot;-&quot;_);_(@_)"/>
    <numFmt numFmtId="165" formatCode="_(* #,##0.00_);_(* \(#,##0.00\);_(* &quot;-&quot;??_);_(@_)"/>
    <numFmt numFmtId="166" formatCode="[&lt;=9999999]###\-####;\(###\)\ ###\-####"/>
    <numFmt numFmtId="167" formatCode="#,##0.00\ &quot;€&quot;"/>
  </numFmts>
  <fonts count="35">
    <font>
      <sz val="10"/>
      <color theme="1" tint="0.24994659260841701"/>
      <name val="Lucida Sans"/>
      <family val="2"/>
      <scheme val="minor"/>
    </font>
    <font>
      <sz val="11"/>
      <color theme="1"/>
      <name val="Lucida Sans"/>
      <family val="2"/>
      <scheme val="minor"/>
    </font>
    <font>
      <sz val="11"/>
      <color theme="1"/>
      <name val="Lucida Sans"/>
      <family val="2"/>
      <scheme val="minor"/>
    </font>
    <font>
      <sz val="10"/>
      <color theme="1" tint="0.24994659260841701"/>
      <name val="Rockwell"/>
      <family val="2"/>
      <scheme val="major"/>
    </font>
    <font>
      <b/>
      <sz val="10"/>
      <color theme="1" tint="0.24994659260841701"/>
      <name val="Rockwell"/>
      <family val="2"/>
      <scheme val="major"/>
    </font>
    <font>
      <sz val="22"/>
      <color theme="3" tint="0.24994659260841701"/>
      <name val="Rockwell"/>
      <family val="2"/>
      <scheme val="major"/>
    </font>
    <font>
      <sz val="11"/>
      <color theme="0"/>
      <name val="Lucida Sans"/>
      <family val="2"/>
      <scheme val="minor"/>
    </font>
    <font>
      <sz val="10"/>
      <color theme="0"/>
      <name val="Lucida Sans"/>
      <family val="2"/>
      <scheme val="minor"/>
    </font>
    <font>
      <sz val="12"/>
      <name val="Lucida Sans"/>
      <family val="2"/>
      <charset val="238"/>
      <scheme val="minor"/>
    </font>
    <font>
      <sz val="11"/>
      <color theme="4" tint="-0.499984740745262"/>
      <name val="Lucida Sans"/>
      <family val="2"/>
      <scheme val="minor"/>
    </font>
    <font>
      <sz val="14"/>
      <color theme="0"/>
      <name val="Rockwell"/>
      <family val="1"/>
      <scheme val="major"/>
    </font>
    <font>
      <b/>
      <sz val="12"/>
      <name val="Lucida Sans"/>
      <family val="2"/>
      <charset val="238"/>
      <scheme val="minor"/>
    </font>
    <font>
      <sz val="36"/>
      <color theme="5" tint="-0.499984740745262"/>
      <name val="Rockwell"/>
      <family val="2"/>
      <scheme val="major"/>
    </font>
    <font>
      <sz val="12"/>
      <color theme="1" tint="0.24994659260841701"/>
      <name val="Lucida Sans"/>
      <family val="2"/>
      <scheme val="minor"/>
    </font>
    <font>
      <sz val="12"/>
      <color theme="1" tint="0.24994659260841701"/>
      <name val="Rockwell"/>
      <family val="1"/>
      <scheme val="major"/>
    </font>
    <font>
      <b/>
      <sz val="12"/>
      <color theme="1" tint="0.24994659260841701"/>
      <name val="Lucida Sans"/>
      <family val="2"/>
      <charset val="238"/>
      <scheme val="minor"/>
    </font>
    <font>
      <sz val="10"/>
      <color theme="1" tint="0.24994659260841701"/>
      <name val="Lucida Sans"/>
      <family val="2"/>
      <scheme val="minor"/>
    </font>
    <font>
      <sz val="18"/>
      <color theme="3"/>
      <name val="Rockwell"/>
      <family val="2"/>
      <scheme val="major"/>
    </font>
    <font>
      <b/>
      <sz val="11"/>
      <color theme="3"/>
      <name val="Lucida Sans"/>
      <family val="2"/>
      <scheme val="minor"/>
    </font>
    <font>
      <sz val="11"/>
      <color rgb="FF006100"/>
      <name val="Lucida Sans"/>
      <family val="2"/>
      <scheme val="minor"/>
    </font>
    <font>
      <sz val="11"/>
      <color rgb="FF9C0006"/>
      <name val="Lucida Sans"/>
      <family val="2"/>
      <scheme val="minor"/>
    </font>
    <font>
      <sz val="11"/>
      <color rgb="FF9C5700"/>
      <name val="Lucida Sans"/>
      <family val="2"/>
      <scheme val="minor"/>
    </font>
    <font>
      <sz val="11"/>
      <color rgb="FF3F3F76"/>
      <name val="Lucida Sans"/>
      <family val="2"/>
      <scheme val="minor"/>
    </font>
    <font>
      <b/>
      <sz val="11"/>
      <color rgb="FF3F3F3F"/>
      <name val="Lucida Sans"/>
      <family val="2"/>
      <scheme val="minor"/>
    </font>
    <font>
      <b/>
      <sz val="11"/>
      <color rgb="FFFA7D00"/>
      <name val="Lucida Sans"/>
      <family val="2"/>
      <scheme val="minor"/>
    </font>
    <font>
      <sz val="11"/>
      <color rgb="FFFA7D00"/>
      <name val="Lucida Sans"/>
      <family val="2"/>
      <scheme val="minor"/>
    </font>
    <font>
      <b/>
      <sz val="11"/>
      <color theme="0"/>
      <name val="Lucida Sans"/>
      <family val="2"/>
      <scheme val="minor"/>
    </font>
    <font>
      <sz val="11"/>
      <color rgb="FFFF0000"/>
      <name val="Lucida Sans"/>
      <family val="2"/>
      <scheme val="minor"/>
    </font>
    <font>
      <i/>
      <sz val="11"/>
      <color rgb="FF7F7F7F"/>
      <name val="Lucida Sans"/>
      <family val="2"/>
      <scheme val="minor"/>
    </font>
    <font>
      <b/>
      <sz val="11"/>
      <color theme="1"/>
      <name val="Lucida Sans"/>
      <family val="2"/>
      <scheme val="minor"/>
    </font>
    <font>
      <sz val="36"/>
      <color theme="3" tint="0.24994659260841701"/>
      <name val="Rockwell"/>
      <family val="2"/>
      <scheme val="major"/>
    </font>
    <font>
      <sz val="10"/>
      <color theme="1" tint="0.14999847407452621"/>
      <name val="Lucida Sans"/>
      <family val="2"/>
      <scheme val="minor"/>
    </font>
    <font>
      <sz val="11"/>
      <name val="Verdana"/>
      <family val="2"/>
    </font>
    <font>
      <sz val="16"/>
      <name val="Verdana"/>
      <family val="2"/>
    </font>
    <font>
      <b/>
      <sz val="11"/>
      <name val="Verdana"/>
      <family val="2"/>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2" tint="-9.9978637043366805E-2"/>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1" tint="0.249977111117893"/>
        <bgColor indexed="64"/>
      </patternFill>
    </fill>
    <fill>
      <patternFill patternType="solid">
        <fgColor theme="0" tint="-0.34998626667073579"/>
        <bgColor indexed="64"/>
      </patternFill>
    </fill>
  </fills>
  <borders count="14">
    <border>
      <left/>
      <right/>
      <top/>
      <bottom/>
      <diagonal/>
    </border>
    <border>
      <left/>
      <right/>
      <top/>
      <bottom style="medium">
        <color theme="4" tint="-0.24994659260841701"/>
      </bottom>
      <diagonal/>
    </border>
    <border>
      <left/>
      <right/>
      <top/>
      <bottom style="thick">
        <color theme="4" tint="0.499984740745262"/>
      </bottom>
      <diagonal/>
    </border>
    <border>
      <left/>
      <right/>
      <top/>
      <bottom style="medium">
        <color theme="4" tint="0.39997558519241921"/>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theme="0"/>
      </left>
      <right style="thin">
        <color theme="0"/>
      </right>
      <top style="thin">
        <color theme="0"/>
      </top>
      <bottom style="thin">
        <color theme="0"/>
      </bottom>
      <diagonal/>
    </border>
    <border>
      <left/>
      <right/>
      <top style="thin">
        <color theme="0"/>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xf numFmtId="0" fontId="5" fillId="0" borderId="1" applyNumberFormat="0" applyFill="0" applyAlignment="0" applyProtection="0"/>
    <xf numFmtId="0" fontId="3" fillId="0" borderId="2" applyNumberFormat="0" applyFill="0" applyBorder="0" applyAlignment="0" applyProtection="0"/>
    <xf numFmtId="0" fontId="4" fillId="0" borderId="3" applyNumberFormat="0" applyFill="0" applyBorder="0" applyAlignment="0" applyProtection="0"/>
    <xf numFmtId="166" fontId="9" fillId="0" borderId="0" applyFont="0" applyFill="0" applyBorder="0" applyAlignment="0" applyProtection="0"/>
    <xf numFmtId="14" fontId="9" fillId="0" borderId="0" applyFont="0" applyFill="0" applyBorder="0" applyAlignment="0" applyProtection="0"/>
    <xf numFmtId="165" fontId="16" fillId="0" borderId="0" applyFont="0" applyFill="0" applyBorder="0" applyAlignment="0" applyProtection="0"/>
    <xf numFmtId="164" fontId="16" fillId="0" borderId="0" applyFont="0" applyFill="0" applyBorder="0" applyAlignment="0" applyProtection="0"/>
    <xf numFmtId="44" fontId="16" fillId="0" borderId="0" applyFont="0" applyFill="0" applyBorder="0" applyAlignment="0" applyProtection="0"/>
    <xf numFmtId="42" fontId="16" fillId="0" borderId="0" applyFont="0" applyFill="0" applyBorder="0" applyAlignment="0" applyProtection="0"/>
    <xf numFmtId="9" fontId="16" fillId="0" borderId="0" applyFont="0" applyFill="0" applyBorder="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19" fillId="2" borderId="0" applyNumberFormat="0" applyBorder="0" applyAlignment="0" applyProtection="0"/>
    <xf numFmtId="0" fontId="20" fillId="3" borderId="0" applyNumberFormat="0" applyBorder="0" applyAlignment="0" applyProtection="0"/>
    <xf numFmtId="0" fontId="21" fillId="4" borderId="0" applyNumberFormat="0" applyBorder="0" applyAlignment="0" applyProtection="0"/>
    <xf numFmtId="0" fontId="22" fillId="5" borderId="8" applyNumberFormat="0" applyAlignment="0" applyProtection="0"/>
    <xf numFmtId="0" fontId="23" fillId="6" borderId="9" applyNumberFormat="0" applyAlignment="0" applyProtection="0"/>
    <xf numFmtId="0" fontId="24" fillId="6" borderId="8" applyNumberFormat="0" applyAlignment="0" applyProtection="0"/>
    <xf numFmtId="0" fontId="25" fillId="0" borderId="10" applyNumberFormat="0" applyFill="0" applyAlignment="0" applyProtection="0"/>
    <xf numFmtId="0" fontId="26" fillId="7" borderId="11" applyNumberFormat="0" applyAlignment="0" applyProtection="0"/>
    <xf numFmtId="0" fontId="27" fillId="0" borderId="0" applyNumberFormat="0" applyFill="0" applyBorder="0" applyAlignment="0" applyProtection="0"/>
    <xf numFmtId="0" fontId="16" fillId="8" borderId="12" applyNumberFormat="0" applyFont="0" applyAlignment="0" applyProtection="0"/>
    <xf numFmtId="0" fontId="28" fillId="0" borderId="0" applyNumberFormat="0" applyFill="0" applyBorder="0" applyAlignment="0" applyProtection="0"/>
    <xf numFmtId="0" fontId="29" fillId="0" borderId="13" applyNumberFormat="0" applyFill="0" applyAlignment="0" applyProtection="0"/>
    <xf numFmtId="0" fontId="6"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6"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6"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6"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6"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6"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3">
    <xf numFmtId="0" fontId="0" fillId="0" borderId="0" xfId="0"/>
    <xf numFmtId="0" fontId="2" fillId="0" borderId="0" xfId="0" applyFont="1"/>
    <xf numFmtId="0" fontId="3" fillId="0" borderId="0" xfId="0" applyFont="1"/>
    <xf numFmtId="0" fontId="6" fillId="0" borderId="0" xfId="0" applyFont="1"/>
    <xf numFmtId="0" fontId="7" fillId="0" borderId="0" xfId="0" applyFont="1"/>
    <xf numFmtId="0" fontId="0" fillId="0" borderId="0" xfId="0" applyAlignment="1">
      <alignment vertical="center"/>
    </xf>
    <xf numFmtId="0" fontId="3" fillId="0" borderId="0" xfId="2" applyBorder="1" applyAlignment="1">
      <alignment vertical="center" wrapText="1"/>
    </xf>
    <xf numFmtId="0" fontId="3" fillId="0" borderId="0" xfId="2" applyBorder="1" applyAlignment="1">
      <alignment vertical="center"/>
    </xf>
    <xf numFmtId="0" fontId="3" fillId="0" borderId="0" xfId="2" applyBorder="1" applyAlignment="1">
      <alignment horizontal="left" vertical="center"/>
    </xf>
    <xf numFmtId="0" fontId="13" fillId="0" borderId="0" xfId="0" applyFont="1"/>
    <xf numFmtId="0" fontId="6" fillId="0" borderId="0" xfId="0" applyFont="1" applyAlignment="1">
      <alignment wrapText="1"/>
    </xf>
    <xf numFmtId="0" fontId="4" fillId="0" borderId="0" xfId="0" applyFont="1" applyAlignment="1">
      <alignment vertical="center"/>
    </xf>
    <xf numFmtId="0" fontId="2" fillId="34" borderId="0" xfId="0" applyFont="1" applyFill="1"/>
    <xf numFmtId="0" fontId="12" fillId="34" borderId="0" xfId="1" applyFont="1" applyFill="1" applyBorder="1" applyAlignment="1">
      <alignment vertical="center"/>
    </xf>
    <xf numFmtId="0" fontId="30" fillId="34" borderId="0" xfId="1" applyFont="1" applyFill="1" applyBorder="1"/>
    <xf numFmtId="0" fontId="5" fillId="34" borderId="0" xfId="1" applyFill="1" applyBorder="1"/>
    <xf numFmtId="0" fontId="0" fillId="34" borderId="0" xfId="0" applyFill="1"/>
    <xf numFmtId="0" fontId="8" fillId="35" borderId="4" xfId="2" applyFont="1" applyFill="1" applyBorder="1" applyAlignment="1">
      <alignment vertical="center"/>
    </xf>
    <xf numFmtId="8" fontId="8" fillId="35" borderId="6" xfId="0" applyNumberFormat="1" applyFont="1" applyFill="1" applyBorder="1" applyAlignment="1">
      <alignment vertical="center"/>
    </xf>
    <xf numFmtId="0" fontId="8" fillId="36" borderId="4" xfId="2" applyFont="1" applyFill="1" applyBorder="1" applyAlignment="1">
      <alignment vertical="center"/>
    </xf>
    <xf numFmtId="8" fontId="11" fillId="36" borderId="6" xfId="0" applyNumberFormat="1" applyFont="1" applyFill="1" applyBorder="1" applyAlignment="1">
      <alignment vertical="center"/>
    </xf>
    <xf numFmtId="0" fontId="14" fillId="37" borderId="0" xfId="0" applyFont="1" applyFill="1" applyAlignment="1">
      <alignment vertical="center"/>
    </xf>
    <xf numFmtId="0" fontId="0" fillId="0" borderId="0" xfId="0" applyBorder="1"/>
    <xf numFmtId="0" fontId="13" fillId="35" borderId="6" xfId="0" applyFont="1" applyFill="1" applyBorder="1" applyAlignment="1">
      <alignment vertical="center"/>
    </xf>
    <xf numFmtId="167" fontId="13" fillId="35" borderId="6" xfId="0" applyNumberFormat="1" applyFont="1" applyFill="1" applyBorder="1" applyAlignment="1">
      <alignment vertical="center"/>
    </xf>
    <xf numFmtId="0" fontId="15" fillId="36" borderId="6" xfId="0" applyFont="1" applyFill="1" applyBorder="1" applyAlignment="1">
      <alignment vertical="center"/>
    </xf>
    <xf numFmtId="167" fontId="13" fillId="36" borderId="6" xfId="0" applyNumberFormat="1" applyFont="1" applyFill="1" applyBorder="1" applyAlignment="1">
      <alignment vertical="center"/>
    </xf>
    <xf numFmtId="167" fontId="13" fillId="36" borderId="6" xfId="0" applyNumberFormat="1" applyFont="1" applyFill="1" applyBorder="1" applyAlignment="1">
      <alignment horizontal="right" vertical="center"/>
    </xf>
    <xf numFmtId="0" fontId="31" fillId="0" borderId="0" xfId="0" applyFont="1" applyAlignment="1">
      <alignment vertical="center"/>
    </xf>
    <xf numFmtId="0" fontId="31" fillId="0" borderId="0" xfId="0" applyFont="1"/>
    <xf numFmtId="0" fontId="32" fillId="0" borderId="0" xfId="0" applyFont="1" applyAlignment="1">
      <alignment vertical="center" wrapText="1"/>
    </xf>
    <xf numFmtId="0" fontId="32" fillId="0" borderId="0" xfId="0" applyFont="1" applyAlignment="1">
      <alignment vertical="top" wrapText="1"/>
    </xf>
    <xf numFmtId="0" fontId="33" fillId="0" borderId="0" xfId="2" applyFont="1" applyFill="1" applyBorder="1" applyAlignment="1">
      <alignment horizontal="left" vertical="center"/>
    </xf>
    <xf numFmtId="0" fontId="32" fillId="0" borderId="0" xfId="0" applyFont="1" applyAlignment="1">
      <alignment horizontal="left" vertical="center" wrapText="1"/>
    </xf>
    <xf numFmtId="0" fontId="34" fillId="0" borderId="0" xfId="0" applyFont="1" applyAlignment="1">
      <alignment wrapText="1"/>
    </xf>
    <xf numFmtId="0" fontId="8" fillId="35" borderId="6" xfId="2" applyFont="1" applyFill="1" applyBorder="1" applyAlignment="1">
      <alignment horizontal="left" vertical="center" wrapText="1" indent="1"/>
    </xf>
    <xf numFmtId="8" fontId="11" fillId="33" borderId="6" xfId="0" applyNumberFormat="1" applyFont="1" applyFill="1" applyBorder="1" applyAlignment="1">
      <alignment horizontal="right" vertical="center" indent="1"/>
    </xf>
    <xf numFmtId="0" fontId="10" fillId="37" borderId="4" xfId="3" applyFont="1" applyFill="1" applyBorder="1" applyAlignment="1">
      <alignment vertical="center"/>
    </xf>
    <xf numFmtId="0" fontId="10" fillId="37" borderId="5" xfId="3" applyFont="1" applyFill="1" applyBorder="1" applyAlignment="1">
      <alignment vertical="center"/>
    </xf>
    <xf numFmtId="0" fontId="10" fillId="37" borderId="7" xfId="3" applyFont="1" applyFill="1" applyBorder="1" applyAlignment="1">
      <alignment vertical="center"/>
    </xf>
    <xf numFmtId="8" fontId="11" fillId="38" borderId="6" xfId="0" applyNumberFormat="1" applyFont="1" applyFill="1" applyBorder="1" applyAlignment="1">
      <alignment horizontal="right" vertical="center" indent="1"/>
    </xf>
    <xf numFmtId="0" fontId="13" fillId="0" borderId="0" xfId="0" applyFont="1" applyAlignment="1">
      <alignment horizontal="center"/>
    </xf>
    <xf numFmtId="0" fontId="0" fillId="0" borderId="0" xfId="0" applyAlignment="1">
      <alignment horizontal="center"/>
    </xf>
  </cellXfs>
  <cellStyles count="49">
    <cellStyle name="20% - Énfasis1" xfId="26" builtinId="30" customBuiltin="1"/>
    <cellStyle name="20% - Énfasis2" xfId="30" builtinId="34" customBuiltin="1"/>
    <cellStyle name="20% - Énfasis3" xfId="34" builtinId="38" customBuiltin="1"/>
    <cellStyle name="20% - Énfasis4" xfId="38" builtinId="42" customBuiltin="1"/>
    <cellStyle name="20% - Énfasis5" xfId="42" builtinId="46" customBuiltin="1"/>
    <cellStyle name="20% - Énfasis6" xfId="46" builtinId="50" customBuiltin="1"/>
    <cellStyle name="40% - Énfasis1" xfId="27" builtinId="31" customBuiltin="1"/>
    <cellStyle name="40% - Énfasis2" xfId="31" builtinId="35" customBuiltin="1"/>
    <cellStyle name="40% - Énfasis3" xfId="35" builtinId="39" customBuiltin="1"/>
    <cellStyle name="40% - Énfasis4" xfId="39" builtinId="43" customBuiltin="1"/>
    <cellStyle name="40% - Énfasis5" xfId="43" builtinId="47" customBuiltin="1"/>
    <cellStyle name="40% - Énfasis6" xfId="47" builtinId="51" customBuiltin="1"/>
    <cellStyle name="60% - Énfasis1" xfId="28" builtinId="32" customBuiltin="1"/>
    <cellStyle name="60% - Énfasis2" xfId="32" builtinId="36" customBuiltin="1"/>
    <cellStyle name="60% - Énfasis3" xfId="36" builtinId="40" customBuiltin="1"/>
    <cellStyle name="60% - Énfasis4" xfId="40" builtinId="44" customBuiltin="1"/>
    <cellStyle name="60% - Énfasis5" xfId="44" builtinId="48" customBuiltin="1"/>
    <cellStyle name="60% - Énfasis6" xfId="48" builtinId="52" customBuiltin="1"/>
    <cellStyle name="Buena" xfId="13" builtinId="26" customBuiltin="1"/>
    <cellStyle name="Cálculo" xfId="18" builtinId="22" customBuiltin="1"/>
    <cellStyle name="Celda de comprobación" xfId="20" builtinId="23" customBuiltin="1"/>
    <cellStyle name="Celda vinculada" xfId="19" builtinId="24" customBuiltin="1"/>
    <cellStyle name="Encabezado 1" xfId="1" builtinId="16" customBuiltin="1"/>
    <cellStyle name="Encabezado 4" xfId="12" builtinId="19" customBuiltin="1"/>
    <cellStyle name="Énfasis1" xfId="25" builtinId="29" customBuiltin="1"/>
    <cellStyle name="Énfasis2" xfId="29" builtinId="33" customBuiltin="1"/>
    <cellStyle name="Énfasis3" xfId="33" builtinId="37" customBuiltin="1"/>
    <cellStyle name="Énfasis4" xfId="37" builtinId="41" customBuiltin="1"/>
    <cellStyle name="Énfasis5" xfId="41" builtinId="45" customBuiltin="1"/>
    <cellStyle name="Énfasis6" xfId="45" builtinId="49" customBuiltin="1"/>
    <cellStyle name="Entrada" xfId="16" builtinId="20" customBuiltin="1"/>
    <cellStyle name="Fecha" xfId="5"/>
    <cellStyle name="Incorrecto" xfId="14" builtinId="27" customBuiltin="1"/>
    <cellStyle name="Millares" xfId="6" builtinId="3" customBuiltin="1"/>
    <cellStyle name="Millares [0]" xfId="7" builtinId="6" customBuiltin="1"/>
    <cellStyle name="Moneda" xfId="8" builtinId="4" customBuiltin="1"/>
    <cellStyle name="Moneda [0]" xfId="9" builtinId="7" customBuiltin="1"/>
    <cellStyle name="Neutral" xfId="15" builtinId="28" customBuiltin="1"/>
    <cellStyle name="Normal" xfId="0" builtinId="0" customBuiltin="1"/>
    <cellStyle name="Notas" xfId="22" builtinId="10" customBuiltin="1"/>
    <cellStyle name="Porcentaje" xfId="10" builtinId="5" customBuiltin="1"/>
    <cellStyle name="Salida" xfId="17" builtinId="21" customBuiltin="1"/>
    <cellStyle name="Teléfono" xfId="4"/>
    <cellStyle name="Texto de advertencia" xfId="21" builtinId="11" customBuiltin="1"/>
    <cellStyle name="Texto explicativo" xfId="23" builtinId="53" customBuiltin="1"/>
    <cellStyle name="Título" xfId="11" builtinId="15" customBuiltin="1"/>
    <cellStyle name="Título 2" xfId="2" builtinId="17" customBuiltin="1"/>
    <cellStyle name="Título 3" xfId="3" builtinId="18" customBuiltin="1"/>
    <cellStyle name="Total" xfId="24" builtinId="25" customBuiltin="1"/>
  </cellStyles>
  <dxfs count="1068">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0.14999847407452621"/>
        </patternFill>
      </fill>
    </dxf>
    <dxf>
      <font>
        <strike val="0"/>
        <outline val="0"/>
        <shadow val="0"/>
        <u val="none"/>
        <vertAlign val="baseline"/>
        <sz val="12"/>
        <color theme="1" tint="0.24994659260841701"/>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0.14999847407452621"/>
        </patternFill>
      </fill>
    </dxf>
    <dxf>
      <font>
        <strike val="0"/>
        <outline val="0"/>
        <shadow val="0"/>
        <u val="none"/>
        <vertAlign val="baseline"/>
        <sz val="12"/>
        <color theme="1" tint="0.24994659260841701"/>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theme="1" tint="0.24994659260841701"/>
      </font>
      <fill>
        <patternFill patternType="solid">
          <fgColor indexed="64"/>
          <bgColor theme="0" tint="-0.14999847407452621"/>
        </patternFill>
      </fill>
    </dxf>
    <dxf>
      <font>
        <strike val="0"/>
        <outline val="0"/>
        <shadow val="0"/>
        <u val="none"/>
        <vertAlign val="baseline"/>
        <sz val="12"/>
        <color theme="1" tint="0.24994659260841701"/>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0.14999847407452621"/>
        </patternFill>
      </fill>
    </dxf>
    <dxf>
      <font>
        <strike val="0"/>
        <outline val="0"/>
        <shadow val="0"/>
        <u val="none"/>
        <vertAlign val="baseline"/>
        <sz val="12"/>
        <color theme="1" tint="0.24994659260841701"/>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theme="1" tint="0.24994659260841701"/>
      </font>
      <fill>
        <patternFill patternType="solid">
          <fgColor indexed="64"/>
          <bgColor theme="0" tint="-0.14999847407452621"/>
        </patternFill>
      </fill>
    </dxf>
    <dxf>
      <font>
        <strike val="0"/>
        <outline val="0"/>
        <shadow val="0"/>
        <u val="none"/>
        <vertAlign val="baseline"/>
        <sz val="12"/>
        <color theme="1" tint="0.24994659260841701"/>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0.14999847407452621"/>
        </patternFill>
      </fill>
    </dxf>
    <dxf>
      <font>
        <strike val="0"/>
        <outline val="0"/>
        <shadow val="0"/>
        <u val="none"/>
        <vertAlign val="baseline"/>
        <sz val="12"/>
        <color theme="1" tint="0.24994659260841701"/>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0.14999847407452621"/>
        </patternFill>
      </fill>
    </dxf>
    <dxf>
      <font>
        <strike val="0"/>
        <outline val="0"/>
        <shadow val="0"/>
        <u val="none"/>
        <vertAlign val="baseline"/>
        <sz val="12"/>
        <color theme="1" tint="0.24994659260841701"/>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0.14999847407452621"/>
        </patternFill>
      </fill>
    </dxf>
    <dxf>
      <font>
        <strike val="0"/>
        <outline val="0"/>
        <shadow val="0"/>
        <u val="none"/>
        <vertAlign val="baseline"/>
        <sz val="12"/>
        <color theme="1" tint="0.24994659260841701"/>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0.14999847407452621"/>
        </patternFill>
      </fill>
    </dxf>
    <dxf>
      <font>
        <strike val="0"/>
        <outline val="0"/>
        <shadow val="0"/>
        <u val="none"/>
        <vertAlign val="baseline"/>
        <sz val="12"/>
        <color theme="1" tint="0.24994659260841701"/>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0.14999847407452621"/>
        </patternFill>
      </fill>
    </dxf>
    <dxf>
      <font>
        <strike val="0"/>
        <outline val="0"/>
        <shadow val="0"/>
        <u val="none"/>
        <vertAlign val="baseline"/>
        <sz val="12"/>
        <color theme="1" tint="0.24994659260841701"/>
      </font>
      <fill>
        <patternFill patternType="solid">
          <fgColor indexed="64"/>
          <bgColor theme="0" tint="-4.9989318521683403E-2"/>
        </patternFill>
      </fill>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0.14999847407452621"/>
        </patternFill>
      </fill>
    </dxf>
    <dxf>
      <font>
        <strike val="0"/>
        <outline val="0"/>
        <shadow val="0"/>
        <u val="none"/>
        <vertAlign val="baseline"/>
        <sz val="12"/>
        <color theme="1" tint="0.24994659260841701"/>
      </font>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0.14999847407452621"/>
        </patternFill>
      </fill>
    </dxf>
    <dxf>
      <font>
        <strike val="0"/>
        <outline val="0"/>
        <shadow val="0"/>
        <u val="none"/>
        <vertAlign val="baseline"/>
        <sz val="12"/>
        <color theme="1" tint="0.24994659260841701"/>
      </font>
      <fill>
        <patternFill patternType="solid">
          <fgColor indexed="64"/>
          <bgColor theme="0" tint="-4.9989318521683403E-2"/>
        </patternFill>
      </fill>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val="0"/>
        <i val="0"/>
        <strike val="0"/>
        <condense val="0"/>
        <extend val="0"/>
        <outline val="0"/>
        <shadow val="0"/>
        <u val="none"/>
        <vertAlign val="baseline"/>
        <sz val="12"/>
        <color theme="1" tint="0.24994659260841701"/>
        <name val="Lucida Sans"/>
        <scheme val="minor"/>
      </font>
      <numFmt numFmtId="167" formatCode="#,##0.00\ &quot;€&quot;"/>
      <fill>
        <patternFill patternType="solid">
          <fgColor indexed="64"/>
          <bgColor theme="0" tint="-0.14999847407452621"/>
        </patternFill>
      </fill>
      <alignment horizontal="right"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b/>
        <i val="0"/>
        <strike val="0"/>
        <condense val="0"/>
        <extend val="0"/>
        <outline val="0"/>
        <shadow val="0"/>
        <u val="none"/>
        <vertAlign val="baseline"/>
        <sz val="12"/>
        <color theme="1" tint="0.24994659260841701"/>
        <name val="Lucida Sans"/>
        <scheme val="minor"/>
      </font>
      <fill>
        <patternFill patternType="solid">
          <fgColor indexed="64"/>
          <bgColor theme="0" tint="-0.14999847407452621"/>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numFmt numFmtId="168" formatCode="&quot;$&quot;#,##0.00"/>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theme="1" tint="0.24994659260841701"/>
      </font>
      <fill>
        <patternFill patternType="solid">
          <fgColor indexed="64"/>
          <bgColor theme="0" tint="-4.9989318521683403E-2"/>
        </patternFill>
      </fill>
      <alignment horizontal="general"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b val="0"/>
        <i val="0"/>
        <strike val="0"/>
        <condense val="0"/>
        <extend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ont>
        <strike val="0"/>
        <outline val="0"/>
        <shadow val="0"/>
        <u val="none"/>
        <vertAlign val="baseline"/>
        <sz val="12"/>
        <color rgb="FF404040"/>
      </font>
      <fill>
        <patternFill patternType="solid">
          <fgColor rgb="FF000000"/>
          <bgColor rgb="FFD9D9D9"/>
        </patternFill>
      </fill>
    </dxf>
    <dxf>
      <font>
        <strike val="0"/>
        <outline val="0"/>
        <shadow val="0"/>
        <u val="none"/>
        <vertAlign val="baseline"/>
        <sz val="12"/>
        <color rgb="FF404040"/>
      </font>
      <fill>
        <patternFill patternType="solid">
          <fgColor rgb="FF000000"/>
          <bgColor rgb="FFF2F2F2"/>
        </patternFill>
      </fill>
    </dxf>
    <dxf>
      <font>
        <strike val="0"/>
        <outline val="0"/>
        <shadow val="0"/>
        <u val="none"/>
        <vertAlign val="baseline"/>
        <sz val="12"/>
        <color theme="1" tint="0.24994659260841701"/>
        <name val="Rockwell"/>
        <scheme val="major"/>
      </font>
      <fill>
        <patternFill patternType="solid">
          <fgColor indexed="64"/>
          <bgColor theme="1" tint="0.249977111117893"/>
        </patternFill>
      </fill>
      <alignment horizontal="general" vertical="center" textRotation="0" wrapText="0" indent="0" justifyLastLine="0" shrinkToFit="0" readingOrder="0"/>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dxf>
    <dxf>
      <font>
        <b val="0"/>
        <i val="0"/>
        <color theme="1"/>
      </font>
    </dxf>
    <dxf>
      <font>
        <b/>
        <color theme="1"/>
      </font>
      <border>
        <top style="double">
          <color theme="4"/>
        </top>
      </border>
    </dxf>
    <dxf>
      <font>
        <b/>
        <color theme="0"/>
      </font>
      <fill>
        <patternFill patternType="solid">
          <fgColor theme="4"/>
          <bgColor theme="4" tint="-0.499984740745262"/>
        </patternFill>
      </fill>
    </dxf>
    <dxf>
      <font>
        <color theme="1"/>
      </font>
      <border>
        <left style="thin">
          <color theme="4" tint="0.39997558519241921"/>
        </left>
        <right style="thin">
          <color theme="4" tint="0.39997558519241921"/>
        </right>
        <top style="thin">
          <color theme="4" tint="0.39997558519241921"/>
        </top>
        <bottom style="thin">
          <color theme="4" tint="0.39997558519241921"/>
        </bottom>
        <horizontal style="thin">
          <color theme="4" tint="0.39997558519241921"/>
        </horizontal>
      </border>
    </dxf>
    <dxf>
      <fill>
        <patternFill patternType="solid">
          <fgColor theme="2" tint="0.59996337778862885"/>
          <bgColor theme="0" tint="-4.9989318521683403E-2"/>
        </patternFill>
      </fill>
    </dxf>
    <dxf>
      <fill>
        <patternFill patternType="solid">
          <fgColor theme="2" tint="0.79995117038483843"/>
          <bgColor theme="2"/>
        </patternFill>
      </fill>
    </dxf>
    <dxf>
      <border>
        <top style="thin">
          <color theme="6" tint="-0.499984740745262"/>
        </top>
      </border>
    </dxf>
    <dxf>
      <font>
        <color theme="2" tint="0.79995117038483843"/>
      </font>
      <fill>
        <patternFill>
          <bgColor theme="6" tint="-0.499984740745262"/>
        </patternFill>
      </fill>
      <border>
        <top style="thick">
          <color theme="0"/>
        </top>
      </border>
    </dxf>
    <dxf>
      <font>
        <b val="0"/>
        <i val="0"/>
        <color auto="1"/>
      </font>
      <fill>
        <patternFill patternType="none">
          <bgColor auto="1"/>
        </patternFill>
      </fill>
      <border diagonalUp="0" diagonalDown="0">
        <left/>
        <right/>
        <top/>
        <bottom style="thin">
          <color theme="6" tint="-0.499984740745262"/>
        </bottom>
        <vertical/>
        <horizontal/>
      </border>
    </dxf>
  </dxfs>
  <tableStyles count="2" defaultTableStyle="TableStyleLight9" defaultPivotStyle="PivotStyleLight16">
    <tableStyle name="Libreta de direcciones" pivot="0" count="5">
      <tableStyleElement type="wholeTable" dxfId="1067"/>
      <tableStyleElement type="headerRow" dxfId="1066"/>
      <tableStyleElement type="totalRow" dxfId="1065"/>
      <tableStyleElement type="firstRowStripe" dxfId="1064"/>
      <tableStyleElement type="secondRowStripe" dxfId="1063"/>
    </tableStyle>
    <tableStyle name="Presupuesto personal mensual" pivot="0" count="7">
      <tableStyleElement type="wholeTable" dxfId="1062"/>
      <tableStyleElement type="headerRow" dxfId="1061"/>
      <tableStyleElement type="totalRow" dxfId="1060"/>
      <tableStyleElement type="firstColumn" dxfId="1059"/>
      <tableStyleElement type="lastColumn" dxfId="1058"/>
      <tableStyleElement type="firstRowStripe" dxfId="1057"/>
      <tableStyleElement type="firstColumnStripe" dxfId="105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190499</xdr:colOff>
      <xdr:row>0</xdr:row>
      <xdr:rowOff>163285</xdr:rowOff>
    </xdr:from>
    <xdr:to>
      <xdr:col>10</xdr:col>
      <xdr:colOff>122463</xdr:colOff>
      <xdr:row>1</xdr:row>
      <xdr:rowOff>874938</xdr:rowOff>
    </xdr:to>
    <xdr:grpSp>
      <xdr:nvGrpSpPr>
        <xdr:cNvPr id="2" name="Grupo 1"/>
        <xdr:cNvGrpSpPr/>
      </xdr:nvGrpSpPr>
      <xdr:grpSpPr>
        <a:xfrm>
          <a:off x="190499" y="163285"/>
          <a:ext cx="13892893" cy="888546"/>
          <a:chOff x="190499" y="163285"/>
          <a:chExt cx="13892893" cy="888546"/>
        </a:xfrm>
      </xdr:grpSpPr>
      <xdr:sp macro="" textlink="">
        <xdr:nvSpPr>
          <xdr:cNvPr id="5" name="Rectángulo 4"/>
          <xdr:cNvSpPr/>
        </xdr:nvSpPr>
        <xdr:spPr>
          <a:xfrm>
            <a:off x="190499" y="163285"/>
            <a:ext cx="13892893" cy="888546"/>
          </a:xfrm>
          <a:prstGeom prst="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endParaRPr lang="es-ES" sz="1100">
              <a:ln>
                <a:solidFill>
                  <a:schemeClr val="bg1">
                    <a:lumMod val="85000"/>
                  </a:schemeClr>
                </a:solidFill>
              </a:ln>
              <a:solidFill>
                <a:sysClr val="windowText" lastClr="000000"/>
              </a:solidFill>
            </a:endParaRPr>
          </a:p>
        </xdr:txBody>
      </xdr:sp>
      <xdr:sp macro="" textlink="">
        <xdr:nvSpPr>
          <xdr:cNvPr id="4" name="Rectángulo 3"/>
          <xdr:cNvSpPr/>
        </xdr:nvSpPr>
        <xdr:spPr>
          <a:xfrm>
            <a:off x="727434" y="219585"/>
            <a:ext cx="11491779" cy="756874"/>
          </a:xfrm>
          <a:prstGeom prst="rect">
            <a:avLst/>
          </a:prstGeom>
          <a:noFill/>
        </xdr:spPr>
        <xdr:txBody>
          <a:bodyPr wrap="square" lIns="91440" tIns="45720" rIns="91440" bIns="45720">
            <a:spAutoFit/>
          </a:bodyPr>
          <a:lstStyle/>
          <a:p>
            <a:pPr algn="ctr"/>
            <a:r>
              <a:rPr lang="es-ES" sz="4400" b="0" cap="none" spc="0">
                <a:ln w="0"/>
                <a:solidFill>
                  <a:schemeClr val="tx1"/>
                </a:solidFill>
                <a:effectLst>
                  <a:outerShdw blurRad="38100" dist="19050" dir="2700000" algn="tl" rotWithShape="0">
                    <a:schemeClr val="dk1">
                      <a:alpha val="40000"/>
                    </a:schemeClr>
                  </a:outerShdw>
                </a:effectLst>
              </a:rPr>
              <a:t>PRESUPUESTO MENSUAL PERSONAL</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190499</xdr:colOff>
      <xdr:row>0</xdr:row>
      <xdr:rowOff>163285</xdr:rowOff>
    </xdr:from>
    <xdr:to>
      <xdr:col>10</xdr:col>
      <xdr:colOff>122463</xdr:colOff>
      <xdr:row>1</xdr:row>
      <xdr:rowOff>874938</xdr:rowOff>
    </xdr:to>
    <xdr:grpSp>
      <xdr:nvGrpSpPr>
        <xdr:cNvPr id="2" name="Grupo 1"/>
        <xdr:cNvGrpSpPr/>
      </xdr:nvGrpSpPr>
      <xdr:grpSpPr>
        <a:xfrm>
          <a:off x="190499" y="163285"/>
          <a:ext cx="13892893" cy="888546"/>
          <a:chOff x="190499" y="163285"/>
          <a:chExt cx="13892893" cy="888546"/>
        </a:xfrm>
      </xdr:grpSpPr>
      <xdr:sp macro="" textlink="">
        <xdr:nvSpPr>
          <xdr:cNvPr id="5" name="Rectángulo 4"/>
          <xdr:cNvSpPr/>
        </xdr:nvSpPr>
        <xdr:spPr>
          <a:xfrm>
            <a:off x="190499" y="163285"/>
            <a:ext cx="13892893" cy="888546"/>
          </a:xfrm>
          <a:prstGeom prst="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endParaRPr lang="es-ES" sz="1100">
              <a:ln>
                <a:solidFill>
                  <a:schemeClr val="bg1">
                    <a:lumMod val="85000"/>
                  </a:schemeClr>
                </a:solidFill>
              </a:ln>
              <a:solidFill>
                <a:sysClr val="windowText" lastClr="000000"/>
              </a:solidFill>
            </a:endParaRPr>
          </a:p>
        </xdr:txBody>
      </xdr:sp>
      <xdr:sp macro="" textlink="">
        <xdr:nvSpPr>
          <xdr:cNvPr id="4" name="Rectángulo 3"/>
          <xdr:cNvSpPr/>
        </xdr:nvSpPr>
        <xdr:spPr>
          <a:xfrm>
            <a:off x="727434" y="219585"/>
            <a:ext cx="11491779" cy="756874"/>
          </a:xfrm>
          <a:prstGeom prst="rect">
            <a:avLst/>
          </a:prstGeom>
          <a:noFill/>
        </xdr:spPr>
        <xdr:txBody>
          <a:bodyPr wrap="square" lIns="91440" tIns="45720" rIns="91440" bIns="45720">
            <a:spAutoFit/>
          </a:bodyPr>
          <a:lstStyle/>
          <a:p>
            <a:pPr algn="ctr"/>
            <a:r>
              <a:rPr lang="es-ES" sz="4400" b="0" cap="none" spc="0">
                <a:ln w="0"/>
                <a:solidFill>
                  <a:schemeClr val="tx1"/>
                </a:solidFill>
                <a:effectLst>
                  <a:outerShdw blurRad="38100" dist="19050" dir="2700000" algn="tl" rotWithShape="0">
                    <a:schemeClr val="dk1">
                      <a:alpha val="40000"/>
                    </a:schemeClr>
                  </a:outerShdw>
                </a:effectLst>
              </a:rPr>
              <a:t>PRESUPUESTO MENSUAL PERSONAL</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190499</xdr:colOff>
      <xdr:row>0</xdr:row>
      <xdr:rowOff>163285</xdr:rowOff>
    </xdr:from>
    <xdr:to>
      <xdr:col>10</xdr:col>
      <xdr:colOff>122463</xdr:colOff>
      <xdr:row>1</xdr:row>
      <xdr:rowOff>874938</xdr:rowOff>
    </xdr:to>
    <xdr:grpSp>
      <xdr:nvGrpSpPr>
        <xdr:cNvPr id="2" name="Grupo 1"/>
        <xdr:cNvGrpSpPr/>
      </xdr:nvGrpSpPr>
      <xdr:grpSpPr>
        <a:xfrm>
          <a:off x="190499" y="163285"/>
          <a:ext cx="13892893" cy="888546"/>
          <a:chOff x="190499" y="163285"/>
          <a:chExt cx="13892893" cy="888546"/>
        </a:xfrm>
      </xdr:grpSpPr>
      <xdr:sp macro="" textlink="">
        <xdr:nvSpPr>
          <xdr:cNvPr id="5" name="Rectángulo 4"/>
          <xdr:cNvSpPr/>
        </xdr:nvSpPr>
        <xdr:spPr>
          <a:xfrm>
            <a:off x="190499" y="163285"/>
            <a:ext cx="13892893" cy="888546"/>
          </a:xfrm>
          <a:prstGeom prst="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endParaRPr lang="es-ES" sz="1100">
              <a:ln>
                <a:solidFill>
                  <a:schemeClr val="bg1">
                    <a:lumMod val="85000"/>
                  </a:schemeClr>
                </a:solidFill>
              </a:ln>
              <a:solidFill>
                <a:sysClr val="windowText" lastClr="000000"/>
              </a:solidFill>
            </a:endParaRPr>
          </a:p>
        </xdr:txBody>
      </xdr:sp>
      <xdr:sp macro="" textlink="">
        <xdr:nvSpPr>
          <xdr:cNvPr id="4" name="Rectángulo 3"/>
          <xdr:cNvSpPr/>
        </xdr:nvSpPr>
        <xdr:spPr>
          <a:xfrm>
            <a:off x="727434" y="219585"/>
            <a:ext cx="11491779" cy="756874"/>
          </a:xfrm>
          <a:prstGeom prst="rect">
            <a:avLst/>
          </a:prstGeom>
          <a:noFill/>
        </xdr:spPr>
        <xdr:txBody>
          <a:bodyPr wrap="square" lIns="91440" tIns="45720" rIns="91440" bIns="45720">
            <a:spAutoFit/>
          </a:bodyPr>
          <a:lstStyle/>
          <a:p>
            <a:pPr algn="ctr"/>
            <a:r>
              <a:rPr lang="es-ES" sz="4400" b="0" cap="none" spc="0">
                <a:ln w="0"/>
                <a:solidFill>
                  <a:schemeClr val="tx1"/>
                </a:solidFill>
                <a:effectLst>
                  <a:outerShdw blurRad="38100" dist="19050" dir="2700000" algn="tl" rotWithShape="0">
                    <a:schemeClr val="dk1">
                      <a:alpha val="40000"/>
                    </a:schemeClr>
                  </a:outerShdw>
                </a:effectLst>
              </a:rPr>
              <a:t>PRESUPUESTO MENSUAL PERSONAL</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190499</xdr:colOff>
      <xdr:row>0</xdr:row>
      <xdr:rowOff>163285</xdr:rowOff>
    </xdr:from>
    <xdr:to>
      <xdr:col>10</xdr:col>
      <xdr:colOff>122463</xdr:colOff>
      <xdr:row>1</xdr:row>
      <xdr:rowOff>874938</xdr:rowOff>
    </xdr:to>
    <xdr:grpSp>
      <xdr:nvGrpSpPr>
        <xdr:cNvPr id="2" name="Grupo 1"/>
        <xdr:cNvGrpSpPr/>
      </xdr:nvGrpSpPr>
      <xdr:grpSpPr>
        <a:xfrm>
          <a:off x="190499" y="163285"/>
          <a:ext cx="13892893" cy="888546"/>
          <a:chOff x="190499" y="163285"/>
          <a:chExt cx="13892893" cy="888546"/>
        </a:xfrm>
      </xdr:grpSpPr>
      <xdr:sp macro="" textlink="">
        <xdr:nvSpPr>
          <xdr:cNvPr id="5" name="Rectángulo 4"/>
          <xdr:cNvSpPr/>
        </xdr:nvSpPr>
        <xdr:spPr>
          <a:xfrm>
            <a:off x="190499" y="163285"/>
            <a:ext cx="13892893" cy="888546"/>
          </a:xfrm>
          <a:prstGeom prst="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endParaRPr lang="es-ES" sz="1100">
              <a:ln>
                <a:solidFill>
                  <a:schemeClr val="bg1">
                    <a:lumMod val="85000"/>
                  </a:schemeClr>
                </a:solidFill>
              </a:ln>
              <a:solidFill>
                <a:sysClr val="windowText" lastClr="000000"/>
              </a:solidFill>
            </a:endParaRPr>
          </a:p>
        </xdr:txBody>
      </xdr:sp>
      <xdr:sp macro="" textlink="">
        <xdr:nvSpPr>
          <xdr:cNvPr id="4" name="Rectángulo 3"/>
          <xdr:cNvSpPr/>
        </xdr:nvSpPr>
        <xdr:spPr>
          <a:xfrm>
            <a:off x="727434" y="219585"/>
            <a:ext cx="11491779" cy="756874"/>
          </a:xfrm>
          <a:prstGeom prst="rect">
            <a:avLst/>
          </a:prstGeom>
          <a:noFill/>
        </xdr:spPr>
        <xdr:txBody>
          <a:bodyPr wrap="square" lIns="91440" tIns="45720" rIns="91440" bIns="45720">
            <a:spAutoFit/>
          </a:bodyPr>
          <a:lstStyle/>
          <a:p>
            <a:pPr algn="ctr"/>
            <a:r>
              <a:rPr lang="es-ES" sz="4400" b="0" cap="none" spc="0">
                <a:ln w="0"/>
                <a:solidFill>
                  <a:schemeClr val="tx1"/>
                </a:solidFill>
                <a:effectLst>
                  <a:outerShdw blurRad="38100" dist="19050" dir="2700000" algn="tl" rotWithShape="0">
                    <a:schemeClr val="dk1">
                      <a:alpha val="40000"/>
                    </a:schemeClr>
                  </a:outerShdw>
                </a:effectLst>
              </a:rPr>
              <a:t>PRESUPUESTO MENSUAL PERSONAL</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190499</xdr:colOff>
      <xdr:row>0</xdr:row>
      <xdr:rowOff>163285</xdr:rowOff>
    </xdr:from>
    <xdr:to>
      <xdr:col>10</xdr:col>
      <xdr:colOff>122463</xdr:colOff>
      <xdr:row>1</xdr:row>
      <xdr:rowOff>874938</xdr:rowOff>
    </xdr:to>
    <xdr:grpSp>
      <xdr:nvGrpSpPr>
        <xdr:cNvPr id="2" name="Grupo 1"/>
        <xdr:cNvGrpSpPr/>
      </xdr:nvGrpSpPr>
      <xdr:grpSpPr>
        <a:xfrm>
          <a:off x="190499" y="163285"/>
          <a:ext cx="13892893" cy="888546"/>
          <a:chOff x="190499" y="163285"/>
          <a:chExt cx="13892893" cy="888546"/>
        </a:xfrm>
      </xdr:grpSpPr>
      <xdr:sp macro="" textlink="">
        <xdr:nvSpPr>
          <xdr:cNvPr id="5" name="Rectángulo 4"/>
          <xdr:cNvSpPr/>
        </xdr:nvSpPr>
        <xdr:spPr>
          <a:xfrm>
            <a:off x="190499" y="163285"/>
            <a:ext cx="13892893" cy="888546"/>
          </a:xfrm>
          <a:prstGeom prst="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endParaRPr lang="es-ES" sz="1100">
              <a:ln>
                <a:solidFill>
                  <a:schemeClr val="bg1">
                    <a:lumMod val="85000"/>
                  </a:schemeClr>
                </a:solidFill>
              </a:ln>
              <a:solidFill>
                <a:sysClr val="windowText" lastClr="000000"/>
              </a:solidFill>
            </a:endParaRPr>
          </a:p>
        </xdr:txBody>
      </xdr:sp>
      <xdr:sp macro="" textlink="">
        <xdr:nvSpPr>
          <xdr:cNvPr id="4" name="Rectángulo 3"/>
          <xdr:cNvSpPr/>
        </xdr:nvSpPr>
        <xdr:spPr>
          <a:xfrm>
            <a:off x="727434" y="219585"/>
            <a:ext cx="11491779" cy="756874"/>
          </a:xfrm>
          <a:prstGeom prst="rect">
            <a:avLst/>
          </a:prstGeom>
          <a:noFill/>
        </xdr:spPr>
        <xdr:txBody>
          <a:bodyPr wrap="square" lIns="91440" tIns="45720" rIns="91440" bIns="45720">
            <a:spAutoFit/>
          </a:bodyPr>
          <a:lstStyle/>
          <a:p>
            <a:pPr algn="ctr"/>
            <a:r>
              <a:rPr lang="es-ES" sz="4400" b="0" cap="none" spc="0">
                <a:ln w="0"/>
                <a:solidFill>
                  <a:schemeClr val="tx1"/>
                </a:solidFill>
                <a:effectLst>
                  <a:outerShdw blurRad="38100" dist="19050" dir="2700000" algn="tl" rotWithShape="0">
                    <a:schemeClr val="dk1">
                      <a:alpha val="40000"/>
                    </a:schemeClr>
                  </a:outerShdw>
                </a:effectLst>
              </a:rPr>
              <a:t>PRESUPUESTO MENSUAL PERSONAL</a:t>
            </a: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190499</xdr:colOff>
      <xdr:row>0</xdr:row>
      <xdr:rowOff>163285</xdr:rowOff>
    </xdr:from>
    <xdr:to>
      <xdr:col>10</xdr:col>
      <xdr:colOff>122463</xdr:colOff>
      <xdr:row>1</xdr:row>
      <xdr:rowOff>874938</xdr:rowOff>
    </xdr:to>
    <xdr:grpSp>
      <xdr:nvGrpSpPr>
        <xdr:cNvPr id="2" name="Grupo 1"/>
        <xdr:cNvGrpSpPr/>
      </xdr:nvGrpSpPr>
      <xdr:grpSpPr>
        <a:xfrm>
          <a:off x="190499" y="163285"/>
          <a:ext cx="13892893" cy="888546"/>
          <a:chOff x="190499" y="163285"/>
          <a:chExt cx="13892893" cy="888546"/>
        </a:xfrm>
      </xdr:grpSpPr>
      <xdr:sp macro="" textlink="">
        <xdr:nvSpPr>
          <xdr:cNvPr id="5" name="Rectángulo 4"/>
          <xdr:cNvSpPr/>
        </xdr:nvSpPr>
        <xdr:spPr>
          <a:xfrm>
            <a:off x="190499" y="163285"/>
            <a:ext cx="13892893" cy="888546"/>
          </a:xfrm>
          <a:prstGeom prst="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endParaRPr lang="es-ES" sz="1100">
              <a:ln>
                <a:solidFill>
                  <a:schemeClr val="bg1">
                    <a:lumMod val="85000"/>
                  </a:schemeClr>
                </a:solidFill>
              </a:ln>
              <a:solidFill>
                <a:sysClr val="windowText" lastClr="000000"/>
              </a:solidFill>
            </a:endParaRPr>
          </a:p>
        </xdr:txBody>
      </xdr:sp>
      <xdr:sp macro="" textlink="">
        <xdr:nvSpPr>
          <xdr:cNvPr id="4" name="Rectángulo 3"/>
          <xdr:cNvSpPr/>
        </xdr:nvSpPr>
        <xdr:spPr>
          <a:xfrm>
            <a:off x="727434" y="219585"/>
            <a:ext cx="11491779" cy="756874"/>
          </a:xfrm>
          <a:prstGeom prst="rect">
            <a:avLst/>
          </a:prstGeom>
          <a:noFill/>
        </xdr:spPr>
        <xdr:txBody>
          <a:bodyPr wrap="square" lIns="91440" tIns="45720" rIns="91440" bIns="45720">
            <a:spAutoFit/>
          </a:bodyPr>
          <a:lstStyle/>
          <a:p>
            <a:pPr algn="ctr"/>
            <a:r>
              <a:rPr lang="es-ES" sz="4400" b="0" cap="none" spc="0">
                <a:ln w="0"/>
                <a:solidFill>
                  <a:schemeClr val="tx1"/>
                </a:solidFill>
                <a:effectLst>
                  <a:outerShdw blurRad="38100" dist="19050" dir="2700000" algn="tl" rotWithShape="0">
                    <a:schemeClr val="dk1">
                      <a:alpha val="40000"/>
                    </a:schemeClr>
                  </a:outerShdw>
                </a:effectLst>
              </a:rPr>
              <a:t>PRESUPUESTO MENSUAL PERSONAL</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190499</xdr:colOff>
      <xdr:row>0</xdr:row>
      <xdr:rowOff>163285</xdr:rowOff>
    </xdr:from>
    <xdr:to>
      <xdr:col>10</xdr:col>
      <xdr:colOff>122463</xdr:colOff>
      <xdr:row>1</xdr:row>
      <xdr:rowOff>874938</xdr:rowOff>
    </xdr:to>
    <xdr:grpSp>
      <xdr:nvGrpSpPr>
        <xdr:cNvPr id="2" name="Grupo 1"/>
        <xdr:cNvGrpSpPr/>
      </xdr:nvGrpSpPr>
      <xdr:grpSpPr>
        <a:xfrm>
          <a:off x="190499" y="163285"/>
          <a:ext cx="13892893" cy="888546"/>
          <a:chOff x="190499" y="163285"/>
          <a:chExt cx="13892893" cy="888546"/>
        </a:xfrm>
      </xdr:grpSpPr>
      <xdr:sp macro="" textlink="">
        <xdr:nvSpPr>
          <xdr:cNvPr id="5" name="Rectángulo 4"/>
          <xdr:cNvSpPr/>
        </xdr:nvSpPr>
        <xdr:spPr>
          <a:xfrm>
            <a:off x="190499" y="163285"/>
            <a:ext cx="13892893" cy="888546"/>
          </a:xfrm>
          <a:prstGeom prst="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endParaRPr lang="es-ES" sz="1100">
              <a:ln>
                <a:solidFill>
                  <a:schemeClr val="bg1">
                    <a:lumMod val="85000"/>
                  </a:schemeClr>
                </a:solidFill>
              </a:ln>
              <a:solidFill>
                <a:sysClr val="windowText" lastClr="000000"/>
              </a:solidFill>
            </a:endParaRPr>
          </a:p>
        </xdr:txBody>
      </xdr:sp>
      <xdr:sp macro="" textlink="">
        <xdr:nvSpPr>
          <xdr:cNvPr id="4" name="Rectángulo 3"/>
          <xdr:cNvSpPr/>
        </xdr:nvSpPr>
        <xdr:spPr>
          <a:xfrm>
            <a:off x="727434" y="219585"/>
            <a:ext cx="11491779" cy="756874"/>
          </a:xfrm>
          <a:prstGeom prst="rect">
            <a:avLst/>
          </a:prstGeom>
          <a:noFill/>
        </xdr:spPr>
        <xdr:txBody>
          <a:bodyPr wrap="square" lIns="91440" tIns="45720" rIns="91440" bIns="45720">
            <a:spAutoFit/>
          </a:bodyPr>
          <a:lstStyle/>
          <a:p>
            <a:pPr algn="ctr"/>
            <a:r>
              <a:rPr lang="es-ES" sz="4400" b="0" cap="none" spc="0">
                <a:ln w="0"/>
                <a:solidFill>
                  <a:schemeClr val="tx1"/>
                </a:solidFill>
                <a:effectLst>
                  <a:outerShdw blurRad="38100" dist="19050" dir="2700000" algn="tl" rotWithShape="0">
                    <a:schemeClr val="dk1">
                      <a:alpha val="40000"/>
                    </a:schemeClr>
                  </a:outerShdw>
                </a:effectLst>
              </a:rPr>
              <a:t>PRESUPUESTO MENSUAL PERSONAL</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190499</xdr:colOff>
      <xdr:row>0</xdr:row>
      <xdr:rowOff>163285</xdr:rowOff>
    </xdr:from>
    <xdr:to>
      <xdr:col>10</xdr:col>
      <xdr:colOff>122463</xdr:colOff>
      <xdr:row>1</xdr:row>
      <xdr:rowOff>874938</xdr:rowOff>
    </xdr:to>
    <xdr:grpSp>
      <xdr:nvGrpSpPr>
        <xdr:cNvPr id="2" name="Grupo 1"/>
        <xdr:cNvGrpSpPr/>
      </xdr:nvGrpSpPr>
      <xdr:grpSpPr>
        <a:xfrm>
          <a:off x="190499" y="163285"/>
          <a:ext cx="13892893" cy="888546"/>
          <a:chOff x="190499" y="163285"/>
          <a:chExt cx="13892893" cy="888546"/>
        </a:xfrm>
      </xdr:grpSpPr>
      <xdr:sp macro="" textlink="">
        <xdr:nvSpPr>
          <xdr:cNvPr id="5" name="Rectángulo 4"/>
          <xdr:cNvSpPr/>
        </xdr:nvSpPr>
        <xdr:spPr>
          <a:xfrm>
            <a:off x="190499" y="163285"/>
            <a:ext cx="13892893" cy="888546"/>
          </a:xfrm>
          <a:prstGeom prst="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endParaRPr lang="es-ES" sz="1100">
              <a:ln>
                <a:solidFill>
                  <a:schemeClr val="bg1">
                    <a:lumMod val="85000"/>
                  </a:schemeClr>
                </a:solidFill>
              </a:ln>
              <a:solidFill>
                <a:sysClr val="windowText" lastClr="000000"/>
              </a:solidFill>
            </a:endParaRPr>
          </a:p>
        </xdr:txBody>
      </xdr:sp>
      <xdr:sp macro="" textlink="">
        <xdr:nvSpPr>
          <xdr:cNvPr id="4" name="Rectángulo 3"/>
          <xdr:cNvSpPr/>
        </xdr:nvSpPr>
        <xdr:spPr>
          <a:xfrm>
            <a:off x="727434" y="219585"/>
            <a:ext cx="11491779" cy="756874"/>
          </a:xfrm>
          <a:prstGeom prst="rect">
            <a:avLst/>
          </a:prstGeom>
          <a:noFill/>
        </xdr:spPr>
        <xdr:txBody>
          <a:bodyPr wrap="square" lIns="91440" tIns="45720" rIns="91440" bIns="45720">
            <a:spAutoFit/>
          </a:bodyPr>
          <a:lstStyle/>
          <a:p>
            <a:pPr algn="ctr"/>
            <a:r>
              <a:rPr lang="es-ES" sz="4400" b="0" cap="none" spc="0">
                <a:ln w="0"/>
                <a:solidFill>
                  <a:schemeClr val="tx1"/>
                </a:solidFill>
                <a:effectLst>
                  <a:outerShdw blurRad="38100" dist="19050" dir="2700000" algn="tl" rotWithShape="0">
                    <a:schemeClr val="dk1">
                      <a:alpha val="40000"/>
                    </a:schemeClr>
                  </a:outerShdw>
                </a:effectLst>
              </a:rPr>
              <a:t>PRESUPUESTO MENSUAL PERSONAL</a:t>
            </a: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190499</xdr:colOff>
      <xdr:row>0</xdr:row>
      <xdr:rowOff>163285</xdr:rowOff>
    </xdr:from>
    <xdr:to>
      <xdr:col>10</xdr:col>
      <xdr:colOff>122463</xdr:colOff>
      <xdr:row>1</xdr:row>
      <xdr:rowOff>874938</xdr:rowOff>
    </xdr:to>
    <xdr:grpSp>
      <xdr:nvGrpSpPr>
        <xdr:cNvPr id="2" name="Grupo 1"/>
        <xdr:cNvGrpSpPr/>
      </xdr:nvGrpSpPr>
      <xdr:grpSpPr>
        <a:xfrm>
          <a:off x="190499" y="163285"/>
          <a:ext cx="13892893" cy="888546"/>
          <a:chOff x="190499" y="163285"/>
          <a:chExt cx="13892893" cy="888546"/>
        </a:xfrm>
      </xdr:grpSpPr>
      <xdr:sp macro="" textlink="">
        <xdr:nvSpPr>
          <xdr:cNvPr id="5" name="Rectángulo 4"/>
          <xdr:cNvSpPr/>
        </xdr:nvSpPr>
        <xdr:spPr>
          <a:xfrm>
            <a:off x="190499" y="163285"/>
            <a:ext cx="13892893" cy="888546"/>
          </a:xfrm>
          <a:prstGeom prst="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endParaRPr lang="es-ES" sz="1100">
              <a:ln>
                <a:solidFill>
                  <a:schemeClr val="bg1">
                    <a:lumMod val="85000"/>
                  </a:schemeClr>
                </a:solidFill>
              </a:ln>
              <a:solidFill>
                <a:sysClr val="windowText" lastClr="000000"/>
              </a:solidFill>
            </a:endParaRPr>
          </a:p>
        </xdr:txBody>
      </xdr:sp>
      <xdr:sp macro="" textlink="">
        <xdr:nvSpPr>
          <xdr:cNvPr id="4" name="Rectángulo 3"/>
          <xdr:cNvSpPr/>
        </xdr:nvSpPr>
        <xdr:spPr>
          <a:xfrm>
            <a:off x="727434" y="219585"/>
            <a:ext cx="11491779" cy="756874"/>
          </a:xfrm>
          <a:prstGeom prst="rect">
            <a:avLst/>
          </a:prstGeom>
          <a:noFill/>
        </xdr:spPr>
        <xdr:txBody>
          <a:bodyPr wrap="square" lIns="91440" tIns="45720" rIns="91440" bIns="45720">
            <a:spAutoFit/>
          </a:bodyPr>
          <a:lstStyle/>
          <a:p>
            <a:pPr algn="ctr"/>
            <a:r>
              <a:rPr lang="es-ES" sz="4400" b="0" cap="none" spc="0">
                <a:ln w="0"/>
                <a:solidFill>
                  <a:schemeClr val="tx1"/>
                </a:solidFill>
                <a:effectLst>
                  <a:outerShdw blurRad="38100" dist="19050" dir="2700000" algn="tl" rotWithShape="0">
                    <a:schemeClr val="dk1">
                      <a:alpha val="40000"/>
                    </a:schemeClr>
                  </a:outerShdw>
                </a:effectLst>
              </a:rPr>
              <a:t>PRESUPUESTO MENSUAL PERSONAL</a:t>
            </a: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190499</xdr:colOff>
      <xdr:row>0</xdr:row>
      <xdr:rowOff>163285</xdr:rowOff>
    </xdr:from>
    <xdr:to>
      <xdr:col>10</xdr:col>
      <xdr:colOff>122463</xdr:colOff>
      <xdr:row>1</xdr:row>
      <xdr:rowOff>874938</xdr:rowOff>
    </xdr:to>
    <xdr:grpSp>
      <xdr:nvGrpSpPr>
        <xdr:cNvPr id="8" name="Grupo 7"/>
        <xdr:cNvGrpSpPr/>
      </xdr:nvGrpSpPr>
      <xdr:grpSpPr>
        <a:xfrm>
          <a:off x="190499" y="163285"/>
          <a:ext cx="13892893" cy="888546"/>
          <a:chOff x="190499" y="163285"/>
          <a:chExt cx="13892893" cy="888546"/>
        </a:xfrm>
      </xdr:grpSpPr>
      <xdr:sp macro="" textlink="">
        <xdr:nvSpPr>
          <xdr:cNvPr id="5" name="Rectángulo 4"/>
          <xdr:cNvSpPr/>
        </xdr:nvSpPr>
        <xdr:spPr>
          <a:xfrm>
            <a:off x="190499" y="163285"/>
            <a:ext cx="13892893" cy="888546"/>
          </a:xfrm>
          <a:prstGeom prst="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endParaRPr lang="es-ES" sz="1100">
              <a:ln>
                <a:solidFill>
                  <a:schemeClr val="bg1">
                    <a:lumMod val="85000"/>
                  </a:schemeClr>
                </a:solidFill>
              </a:ln>
              <a:solidFill>
                <a:sysClr val="windowText" lastClr="000000"/>
              </a:solidFill>
            </a:endParaRPr>
          </a:p>
        </xdr:txBody>
      </xdr:sp>
      <xdr:sp macro="" textlink="">
        <xdr:nvSpPr>
          <xdr:cNvPr id="6" name="Rectángulo 5"/>
          <xdr:cNvSpPr/>
        </xdr:nvSpPr>
        <xdr:spPr>
          <a:xfrm>
            <a:off x="727434" y="219585"/>
            <a:ext cx="11491779" cy="756874"/>
          </a:xfrm>
          <a:prstGeom prst="rect">
            <a:avLst/>
          </a:prstGeom>
          <a:noFill/>
        </xdr:spPr>
        <xdr:txBody>
          <a:bodyPr wrap="square" lIns="91440" tIns="45720" rIns="91440" bIns="45720">
            <a:spAutoFit/>
          </a:bodyPr>
          <a:lstStyle/>
          <a:p>
            <a:pPr algn="ctr"/>
            <a:r>
              <a:rPr lang="es-ES" sz="4400" b="0" cap="none" spc="0">
                <a:ln w="0"/>
                <a:solidFill>
                  <a:schemeClr val="tx1"/>
                </a:solidFill>
                <a:effectLst>
                  <a:outerShdw blurRad="38100" dist="19050" dir="2700000" algn="tl" rotWithShape="0">
                    <a:schemeClr val="dk1">
                      <a:alpha val="40000"/>
                    </a:schemeClr>
                  </a:outerShdw>
                </a:effectLst>
              </a:rPr>
              <a:t>PRESUPUESTO MENSUAL PERSONAL</a:t>
            </a:r>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190499</xdr:colOff>
      <xdr:row>0</xdr:row>
      <xdr:rowOff>163285</xdr:rowOff>
    </xdr:from>
    <xdr:to>
      <xdr:col>10</xdr:col>
      <xdr:colOff>122463</xdr:colOff>
      <xdr:row>1</xdr:row>
      <xdr:rowOff>874938</xdr:rowOff>
    </xdr:to>
    <xdr:grpSp>
      <xdr:nvGrpSpPr>
        <xdr:cNvPr id="2" name="Grupo 1"/>
        <xdr:cNvGrpSpPr/>
      </xdr:nvGrpSpPr>
      <xdr:grpSpPr>
        <a:xfrm>
          <a:off x="190499" y="163285"/>
          <a:ext cx="13892893" cy="888546"/>
          <a:chOff x="190499" y="163285"/>
          <a:chExt cx="13892893" cy="888546"/>
        </a:xfrm>
      </xdr:grpSpPr>
      <xdr:sp macro="" textlink="">
        <xdr:nvSpPr>
          <xdr:cNvPr id="5" name="Rectángulo 4"/>
          <xdr:cNvSpPr/>
        </xdr:nvSpPr>
        <xdr:spPr>
          <a:xfrm>
            <a:off x="190499" y="163285"/>
            <a:ext cx="13892893" cy="888546"/>
          </a:xfrm>
          <a:prstGeom prst="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endParaRPr lang="es-ES" sz="1100">
              <a:ln>
                <a:solidFill>
                  <a:schemeClr val="bg1">
                    <a:lumMod val="85000"/>
                  </a:schemeClr>
                </a:solidFill>
              </a:ln>
              <a:solidFill>
                <a:sysClr val="windowText" lastClr="000000"/>
              </a:solidFill>
            </a:endParaRPr>
          </a:p>
        </xdr:txBody>
      </xdr:sp>
      <xdr:sp macro="" textlink="">
        <xdr:nvSpPr>
          <xdr:cNvPr id="4" name="Rectángulo 3"/>
          <xdr:cNvSpPr/>
        </xdr:nvSpPr>
        <xdr:spPr>
          <a:xfrm>
            <a:off x="727434" y="219585"/>
            <a:ext cx="11491779" cy="756874"/>
          </a:xfrm>
          <a:prstGeom prst="rect">
            <a:avLst/>
          </a:prstGeom>
          <a:noFill/>
        </xdr:spPr>
        <xdr:txBody>
          <a:bodyPr wrap="square" lIns="91440" tIns="45720" rIns="91440" bIns="45720">
            <a:spAutoFit/>
          </a:bodyPr>
          <a:lstStyle/>
          <a:p>
            <a:pPr algn="ctr"/>
            <a:r>
              <a:rPr lang="es-ES" sz="4400" b="0" cap="none" spc="0">
                <a:ln w="0"/>
                <a:solidFill>
                  <a:schemeClr val="tx1"/>
                </a:solidFill>
                <a:effectLst>
                  <a:outerShdw blurRad="38100" dist="19050" dir="2700000" algn="tl" rotWithShape="0">
                    <a:schemeClr val="dk1">
                      <a:alpha val="40000"/>
                    </a:schemeClr>
                  </a:outerShdw>
                </a:effectLst>
              </a:rPr>
              <a:t>PRESUPUESTO MENSUAL PERSONAL</a:t>
            </a:r>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190499</xdr:colOff>
      <xdr:row>0</xdr:row>
      <xdr:rowOff>163285</xdr:rowOff>
    </xdr:from>
    <xdr:to>
      <xdr:col>10</xdr:col>
      <xdr:colOff>122463</xdr:colOff>
      <xdr:row>1</xdr:row>
      <xdr:rowOff>874938</xdr:rowOff>
    </xdr:to>
    <xdr:grpSp>
      <xdr:nvGrpSpPr>
        <xdr:cNvPr id="2" name="Grupo 1"/>
        <xdr:cNvGrpSpPr/>
      </xdr:nvGrpSpPr>
      <xdr:grpSpPr>
        <a:xfrm>
          <a:off x="190499" y="163285"/>
          <a:ext cx="13892893" cy="888546"/>
          <a:chOff x="190499" y="163285"/>
          <a:chExt cx="13892893" cy="888546"/>
        </a:xfrm>
      </xdr:grpSpPr>
      <xdr:sp macro="" textlink="">
        <xdr:nvSpPr>
          <xdr:cNvPr id="5" name="Rectángulo 4"/>
          <xdr:cNvSpPr/>
        </xdr:nvSpPr>
        <xdr:spPr>
          <a:xfrm>
            <a:off x="190499" y="163285"/>
            <a:ext cx="13892893" cy="888546"/>
          </a:xfrm>
          <a:prstGeom prst="rect">
            <a:avLst/>
          </a:prstGeom>
          <a:ln>
            <a:no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endParaRPr lang="es-ES" sz="1100">
              <a:ln>
                <a:solidFill>
                  <a:schemeClr val="bg1">
                    <a:lumMod val="85000"/>
                  </a:schemeClr>
                </a:solidFill>
              </a:ln>
              <a:solidFill>
                <a:sysClr val="windowText" lastClr="000000"/>
              </a:solidFill>
            </a:endParaRPr>
          </a:p>
        </xdr:txBody>
      </xdr:sp>
      <xdr:sp macro="" textlink="">
        <xdr:nvSpPr>
          <xdr:cNvPr id="4" name="Rectángulo 3"/>
          <xdr:cNvSpPr/>
        </xdr:nvSpPr>
        <xdr:spPr>
          <a:xfrm>
            <a:off x="727434" y="219585"/>
            <a:ext cx="11491779" cy="756874"/>
          </a:xfrm>
          <a:prstGeom prst="rect">
            <a:avLst/>
          </a:prstGeom>
          <a:noFill/>
        </xdr:spPr>
        <xdr:txBody>
          <a:bodyPr wrap="square" lIns="91440" tIns="45720" rIns="91440" bIns="45720">
            <a:spAutoFit/>
          </a:bodyPr>
          <a:lstStyle/>
          <a:p>
            <a:pPr algn="ctr"/>
            <a:r>
              <a:rPr lang="es-ES" sz="4400" b="0" cap="none" spc="0">
                <a:ln w="0"/>
                <a:solidFill>
                  <a:schemeClr val="tx1"/>
                </a:solidFill>
                <a:effectLst>
                  <a:outerShdw blurRad="38100" dist="19050" dir="2700000" algn="tl" rotWithShape="0">
                    <a:schemeClr val="dk1">
                      <a:alpha val="40000"/>
                    </a:schemeClr>
                  </a:outerShdw>
                </a:effectLst>
              </a:rPr>
              <a:t>PRESUPUESTO MENSUAL PERSONAL</a:t>
            </a:r>
          </a:p>
        </xdr:txBody>
      </xdr:sp>
    </xdr:grpSp>
    <xdr:clientData/>
  </xdr:twoCellAnchor>
</xdr:wsDr>
</file>

<file path=xl/tables/table1.xml><?xml version="1.0" encoding="utf-8"?>
<table xmlns="http://schemas.openxmlformats.org/spreadsheetml/2006/main" id="121" name="Alojamiento14385062748698110122" displayName="Alojamiento14385062748698110122" ref="B14:E25" totalsRowCount="1" headerRowDxfId="1055" dataDxfId="1054" totalsRowDxfId="1053">
  <autoFilter ref="B14:E24"/>
  <tableColumns count="4">
    <tableColumn id="1" name="HOGAR Y VIVIENDA" totalsRowLabel="Subtotal" totalsRowDxfId="35"/>
    <tableColumn id="2" name="COSTO PREVISTO" totalsRowFunction="sum" totalsRowDxfId="34"/>
    <tableColumn id="3" name="COSTO REAL" totalsRowFunction="sum" totalsRowDxfId="33"/>
    <tableColumn id="4" name="DIFERENCIA" totalsRowFunction="sum" totalsRowDxfId="32">
      <calculatedColumnFormula>Alojamiento14385062748698110122[[#This Row],[COSTO PREVISTO]]-Alojamiento14385062748698110122[[#This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lojamiento en esta tabla. La diferencia se calcula automáticamente."/>
    </ext>
  </extLst>
</table>
</file>

<file path=xl/tables/table2.xml><?xml version="1.0" encoding="utf-8"?>
<table xmlns="http://schemas.openxmlformats.org/spreadsheetml/2006/main" id="122" name="Entretenimiento15395163758799111123" displayName="Entretenimiento15395163758799111123" ref="G14:J24" totalsRowCount="1" headerRowDxfId="1052" dataDxfId="1051" totalsRowDxfId="1050">
  <autoFilter ref="G14:J23"/>
  <tableColumns count="4">
    <tableColumn id="1" name="ENTRETENIMIENTO" totalsRowLabel="Subtotal" totalsRowDxfId="31"/>
    <tableColumn id="2" name="COSTO PREVISTO" totalsRowLabel="0,00 €" totalsRowDxfId="30"/>
    <tableColumn id="3" name="COSTO REAL" totalsRowLabel="0,00 €" totalsRowDxfId="29"/>
    <tableColumn id="4" name="DIFERENCIA" totalsRowFunction="sum" totalsRowDxfId="28">
      <calculatedColumnFormula>Entretenimiento15395163758799111123[[#This Row],[COSTO PREVISTO]]-Entretenimiento15395163758799111123[[#This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entretenimiento en esta tabla. La diferencia se calcula automáticamente."/>
    </ext>
  </extLst>
</table>
</file>

<file path=xl/tables/table3.xml><?xml version="1.0" encoding="utf-8"?>
<table xmlns="http://schemas.openxmlformats.org/spreadsheetml/2006/main" id="123" name="Prestamos164052647688100112124" displayName="Prestamos164052647688100112124" ref="G26:J33" totalsRowCount="1" headerRowDxfId="1049" dataDxfId="1048" totalsRowDxfId="1047">
  <autoFilter ref="G26:J32"/>
  <tableColumns count="4">
    <tableColumn id="1" name="PRÉSTAMOS" totalsRowLabel="Subtotal" dataDxfId="1046" totalsRowDxfId="27"/>
    <tableColumn id="2" name="COSTO PREVISTO" totalsRowLabel="0,00 €" dataDxfId="1045" totalsRowDxfId="26"/>
    <tableColumn id="3" name="COSTO REAL" totalsRowLabel="0,00 €" dataDxfId="1044" totalsRowDxfId="25"/>
    <tableColumn id="4" name="DIFERENCIA" totalsRowFunction="sum" dataDxfId="1043" totalsRowDxfId="24">
      <calculatedColumnFormula>Prestamos164052647688100112124[[#This Row],[COSTO PREVISTO]]-Prestamos164052647688100112124[[#This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préstamos en esta tabla. La diferencia se calcula automáticamente."/>
    </ext>
  </extLst>
</table>
</file>

<file path=xl/tables/table4.xml><?xml version="1.0" encoding="utf-8"?>
<table xmlns="http://schemas.openxmlformats.org/spreadsheetml/2006/main" id="124" name="Transporte174153657789101113125" displayName="Transporte174153657789101113125" ref="B27:E35" totalsRowCount="1" headerRowDxfId="1042" dataDxfId="1041" totalsRowDxfId="1040">
  <autoFilter ref="B27:E34"/>
  <tableColumns count="4">
    <tableColumn id="1" name="TRANSPORTE" totalsRowLabel="Subtotal" totalsRowDxfId="23"/>
    <tableColumn id="2" name="Costo previsto" totalsRowFunction="sum" totalsRowDxfId="22"/>
    <tableColumn id="3" name="Costo real" totalsRowFunction="sum" totalsRowDxfId="21"/>
    <tableColumn id="4" name="Diferencia" totalsRowFunction="sum" totalsRowDxfId="20">
      <calculatedColumnFormula>Transporte174153657789101113125[[#This Row],[Costo previsto]]-Transporte174153657789101113125[[#This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transporte en esta tabla. La diferencia se calcula automáticamente."/>
    </ext>
  </extLst>
</table>
</file>

<file path=xl/tables/table5.xml><?xml version="1.0" encoding="utf-8"?>
<table xmlns="http://schemas.openxmlformats.org/spreadsheetml/2006/main" id="125" name="Seguro184254667890102114126" displayName="Seguro184254667890102114126" ref="B37:E42" totalsRowCount="1" headerRowDxfId="1039" dataDxfId="1038" totalsRowDxfId="1037">
  <autoFilter ref="B37:E41"/>
  <tableColumns count="4">
    <tableColumn id="1" name="SEGURO" totalsRowLabel="Subtotal" totalsRowDxfId="19"/>
    <tableColumn id="2" name="COSTO PREVISTO" totalsRowFunction="sum" totalsRowDxfId="18"/>
    <tableColumn id="3" name="COSTO REAL" totalsRowFunction="sum" totalsRowDxfId="17"/>
    <tableColumn id="4" name="DIFERENCIA" totalsRowFunction="sum" totalsRowDxfId="16">
      <calculatedColumnFormula>Seguro184254667890102114126[[#This Row],[COSTO PREVISTO]]-Seguro184254667890102114126[[#This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seguro en esta tabla. La diferencia se calcula automáticamente."/>
    </ext>
  </extLst>
</table>
</file>

<file path=xl/tables/table6.xml><?xml version="1.0" encoding="utf-8"?>
<table xmlns="http://schemas.openxmlformats.org/spreadsheetml/2006/main" id="126" name="Impuestos194355677991103115127" displayName="Impuestos194355677991103115127" ref="G35:J40" totalsRowCount="1" headerRowDxfId="1036" dataDxfId="1035" totalsRowDxfId="1034">
  <autoFilter ref="G35:J39"/>
  <tableColumns count="4">
    <tableColumn id="1" name="IMPUESTOS" totalsRowLabel="Subtotal" totalsRowDxfId="1033"/>
    <tableColumn id="2" name="COSTO PREVISTO" totalsRowLabel="0,00 €" totalsRowDxfId="1032"/>
    <tableColumn id="3" name="COSTO REAL" totalsRowLabel="0,00 €" totalsRowDxfId="1031"/>
    <tableColumn id="4" name="DIFERENCIA" totalsRowFunction="sum" totalsRowDxfId="1030">
      <calculatedColumnFormula>Impuestos194355677991103115127[[#This Row],[COSTO PREVISTO]]-Impuestos194355677991103115127[[#This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impuestos en esta tabla. La diferencia se calcula automáticamente."/>
    </ext>
  </extLst>
</table>
</file>

<file path=xl/tables/table7.xml><?xml version="1.0" encoding="utf-8"?>
<table xmlns="http://schemas.openxmlformats.org/spreadsheetml/2006/main" id="127" name="Ahorros204456688092104116128" displayName="Ahorros204456688092104116128" ref="G42:J46" totalsRowCount="1" headerRowDxfId="1029" dataDxfId="1028" totalsRowDxfId="1027">
  <autoFilter ref="G42:J45"/>
  <tableColumns count="4">
    <tableColumn id="1" name="AHORROS O INVERSIONES" totalsRowLabel="Subtotal" totalsRowDxfId="1026"/>
    <tableColumn id="2" name="COSTO PREVISTO" totalsRowLabel="0,00 €" totalsRowDxfId="1025"/>
    <tableColumn id="3" name="COSTO REAL" totalsRowLabel="0,00 €" totalsRowDxfId="1024"/>
    <tableColumn id="4" name="DIFERENCIA" totalsRowFunction="sum" totalsRowDxfId="1023">
      <calculatedColumnFormula>Ahorros204456688092104116128[[#This Row],[COSTO PREVISTO]]-Ahorros204456688092104116128[[#This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horros en esta tabla. La diferencia se calcula automáticamente."/>
    </ext>
  </extLst>
</table>
</file>

<file path=xl/tables/table8.xml><?xml version="1.0" encoding="utf-8"?>
<table xmlns="http://schemas.openxmlformats.org/spreadsheetml/2006/main" id="128" name="Comida214557698193105117129" displayName="Comida214557698193105117129" ref="B44:E48" totalsRowCount="1" headerRowDxfId="1022" dataDxfId="1021" totalsRowDxfId="1020">
  <autoFilter ref="B44:E47"/>
  <tableColumns count="4">
    <tableColumn id="1" name="COMIDA" totalsRowLabel="Subtotal" totalsRowDxfId="15"/>
    <tableColumn id="2" name="COSTO PREVISTO" totalsRowFunction="sum" totalsRowDxfId="14"/>
    <tableColumn id="3" name="COSTO REAL" totalsRowFunction="sum" totalsRowDxfId="13"/>
    <tableColumn id="4" name="DIFERENCIA" totalsRowFunction="sum" totalsRowDxfId="12">
      <calculatedColumnFormula>Comida214557698193105117129[[#This Row],[COSTO PREVISTO]]-Comida214557698193105117129[[#This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omida en esta tabla. La diferencia se calcula automáticamente."/>
    </ext>
  </extLst>
</table>
</file>

<file path=xl/tables/table9.xml><?xml version="1.0" encoding="utf-8"?>
<table xmlns="http://schemas.openxmlformats.org/spreadsheetml/2006/main" id="129" name="Regalos224658708294106118130" displayName="Regalos224658708294106118130" ref="G48:J52" totalsRowCount="1" headerRowDxfId="1019" dataDxfId="1018" totalsRowDxfId="1017">
  <autoFilter ref="G48:J51"/>
  <tableColumns count="4">
    <tableColumn id="1" name="CUIDADO DE NIÑOS" totalsRowLabel="Subtotal" totalsRowDxfId="11"/>
    <tableColumn id="2" name="COSTO PREVISTO" totalsRowFunction="sum" totalsRowDxfId="10"/>
    <tableColumn id="3" name="COSTO REAL " totalsRowLabel="0,00 €" totalsRowDxfId="9"/>
    <tableColumn id="4" name="DIFERENCIA" totalsRowFunction="sum" totalsRowDxfId="8">
      <calculatedColumnFormula>Regalos224658708294106118130[[#This Row],[COSTO PREVISTO]]-Regalos224658708294106118130[[#This Row],[COSTO REAL ]]</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regalos en esta tabla. La diferencia se calcula automáticamente."/>
    </ext>
  </extLst>
</table>
</file>

<file path=xl/tables/table10.xml><?xml version="1.0" encoding="utf-8"?>
<table xmlns="http://schemas.openxmlformats.org/spreadsheetml/2006/main" id="130" name="Mascotas234759718395107119131" displayName="Mascotas234759718395107119131" ref="B50:E56" totalsRowCount="1" headerRowDxfId="1016" dataDxfId="1015" totalsRowDxfId="1014">
  <autoFilter ref="B50:E55"/>
  <tableColumns count="4">
    <tableColumn id="1" name="MASCOTAS" totalsRowLabel="Subtotal" totalsRowDxfId="7"/>
    <tableColumn id="2" name="COSTO PREVISTO" totalsRowFunction="sum" totalsRowDxfId="6"/>
    <tableColumn id="3" name="COSTO REAL" totalsRowFunction="sum" totalsRowDxfId="5"/>
    <tableColumn id="4" name="DIFERENCIA" totalsRowFunction="sum" totalsRowDxfId="4">
      <calculatedColumnFormula>Mascotas234759718395107119131[[#This Row],[COSTO PREVISTO]]-Mascotas234759718395107119131[[#This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mascotas en esta tabla. La diferencia se calcula automáticamente."/>
    </ext>
  </extLst>
</table>
</file>

<file path=xl/tables/table11.xml><?xml version="1.0" encoding="utf-8"?>
<table xmlns="http://schemas.openxmlformats.org/spreadsheetml/2006/main" id="131" name="Legal244860728496108120132" displayName="Legal244860728496108120132" ref="G54:J59" totalsRowCount="1" headerRowDxfId="1013" dataDxfId="1012" totalsRowDxfId="1011">
  <autoFilter ref="G54:J58"/>
  <tableColumns count="4">
    <tableColumn id="1" name="PAGO DE DEUDAS" totalsRowLabel="Subtotal" totalsRowDxfId="1010"/>
    <tableColumn id="2" name="COSTO PREVISTO" totalsRowLabel="0,00 €" totalsRowDxfId="1009"/>
    <tableColumn id="3" name="COSTO REAL" totalsRowLabel="0,00 €" totalsRowDxfId="1008"/>
    <tableColumn id="4" name="DIFERENCIA" totalsRowLabel="0,00 €" totalsRowDxfId="1007">
      <calculatedColumnFormula>Legal244860728496108120132[[#This Row],[COSTO PREVISTO]]-Legal244860728496108120132[[#This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legal en esta tabla. La diferencia se calcula automáticamente."/>
    </ext>
  </extLst>
</table>
</file>

<file path=xl/tables/table12.xml><?xml version="1.0" encoding="utf-8"?>
<table xmlns="http://schemas.openxmlformats.org/spreadsheetml/2006/main" id="132" name="CuidadoPersonal254961738597109121133" displayName="CuidadoPersonal254961738597109121133" ref="B58:E66" totalsRowCount="1" headerRowDxfId="1006" dataDxfId="1005" totalsRowDxfId="1004">
  <autoFilter ref="B58:E65"/>
  <tableColumns count="4">
    <tableColumn id="1" name="CUIDADO PERSONAL" totalsRowLabel="Subtotal" totalsRowDxfId="3"/>
    <tableColumn id="2" name="Costo previsto" totalsRowFunction="sum" totalsRowDxfId="2"/>
    <tableColumn id="3" name="Coste real" totalsRowFunction="sum" totalsRowDxfId="1"/>
    <tableColumn id="4" name="Diferencia" totalsRowFunction="sum" totalsRowDxfId="0">
      <calculatedColumnFormula>CuidadoPersonal254961738597109121133[[#This Row],[Costo previsto]]-CuidadoPersonal254961738597109121133[[#This Row],[Coste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uidado personal en esta tabla. La diferencia se calcula automáticamente."/>
    </ext>
  </extLst>
</table>
</file>

<file path=xl/tables/table13.xml><?xml version="1.0" encoding="utf-8"?>
<table xmlns="http://schemas.openxmlformats.org/spreadsheetml/2006/main" id="25" name="Alojamiento1426" displayName="Alojamiento1426" ref="B14:E25" totalsRowCount="1" headerRowDxfId="1003" dataDxfId="1002" totalsRowDxfId="1001">
  <autoFilter ref="B14:E24"/>
  <tableColumns count="4">
    <tableColumn id="1" name="HOGAR Y VIVIENDA" totalsRowLabel="Subtotal" totalsRowDxfId="1000"/>
    <tableColumn id="2" name="COSTO PREVISTO" totalsRowFunction="sum" totalsRowDxfId="999"/>
    <tableColumn id="3" name="COSTO REAL" totalsRowFunction="sum" totalsRowDxfId="998"/>
    <tableColumn id="4" name="DIFERENCIA" totalsRowFunction="sum" totalsRowDxfId="997">
      <calculatedColumnFormula>Alojamiento1426[[#This Row],[COSTO PREVISTO]]-Alojamiento1426[[#This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lojamiento en esta tabla. La diferencia se calcula automáticamente."/>
    </ext>
  </extLst>
</table>
</file>

<file path=xl/tables/table14.xml><?xml version="1.0" encoding="utf-8"?>
<table xmlns="http://schemas.openxmlformats.org/spreadsheetml/2006/main" id="26" name="Entretenimiento1527" displayName="Entretenimiento1527" ref="G14:J24" totalsRowCount="1" headerRowDxfId="996" dataDxfId="995" totalsRowDxfId="994">
  <autoFilter ref="G14:J23"/>
  <tableColumns count="4">
    <tableColumn id="1" name="ENTRETENIMIENTO" totalsRowLabel="Subtotal" totalsRowDxfId="993"/>
    <tableColumn id="2" name="COSTO PREVISTO" totalsRowLabel="0,00 €" totalsRowDxfId="992"/>
    <tableColumn id="3" name="COSTO REAL" totalsRowLabel="0,00 €" totalsRowDxfId="991"/>
    <tableColumn id="4" name="DIFERENCIA" totalsRowFunction="sum" totalsRowDxfId="990">
      <calculatedColumnFormula>Entretenimiento1527[[#This Row],[COSTO PREVISTO]]-Entretenimiento1527[[#This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entretenimiento en esta tabla. La diferencia se calcula automáticamente."/>
    </ext>
  </extLst>
</table>
</file>

<file path=xl/tables/table15.xml><?xml version="1.0" encoding="utf-8"?>
<table xmlns="http://schemas.openxmlformats.org/spreadsheetml/2006/main" id="27" name="Prestamos1628" displayName="Prestamos1628" ref="G26:J33" totalsRowCount="1" headerRowDxfId="989" dataDxfId="988" totalsRowDxfId="987">
  <autoFilter ref="G26:J32"/>
  <tableColumns count="4">
    <tableColumn id="1" name="PRÉSTAMOS" totalsRowLabel="Subtotal" dataDxfId="986" totalsRowDxfId="985"/>
    <tableColumn id="2" name="COSTO PREVISTO" totalsRowLabel="0,00 €" dataDxfId="984" totalsRowDxfId="983"/>
    <tableColumn id="3" name="COSTO REAL" totalsRowLabel="0,00 €" dataDxfId="982" totalsRowDxfId="981"/>
    <tableColumn id="4" name="DIFERENCIA" totalsRowFunction="sum" dataDxfId="980" totalsRowDxfId="979">
      <calculatedColumnFormula>Prestamos1628[[#This Row],[COSTO PREVISTO]]-Prestamos1628[[#This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préstamos en esta tabla. La diferencia se calcula automáticamente."/>
    </ext>
  </extLst>
</table>
</file>

<file path=xl/tables/table16.xml><?xml version="1.0" encoding="utf-8"?>
<table xmlns="http://schemas.openxmlformats.org/spreadsheetml/2006/main" id="28" name="Transporte1729" displayName="Transporte1729" ref="B27:E35" totalsRowCount="1" headerRowDxfId="978" dataDxfId="977" totalsRowDxfId="976">
  <autoFilter ref="B27:E34"/>
  <tableColumns count="4">
    <tableColumn id="1" name="TRANSPORTE" totalsRowLabel="Subtotal" totalsRowDxfId="975"/>
    <tableColumn id="2" name="Costo previsto" totalsRowFunction="sum" totalsRowDxfId="974"/>
    <tableColumn id="3" name="Costo real" totalsRowFunction="sum" totalsRowDxfId="973"/>
    <tableColumn id="4" name="Diferencia" totalsRowFunction="sum" totalsRowDxfId="972">
      <calculatedColumnFormula>Transporte1729[[#This Row],[Costo previsto]]-Transporte1729[[#This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transporte en esta tabla. La diferencia se calcula automáticamente."/>
    </ext>
  </extLst>
</table>
</file>

<file path=xl/tables/table17.xml><?xml version="1.0" encoding="utf-8"?>
<table xmlns="http://schemas.openxmlformats.org/spreadsheetml/2006/main" id="29" name="Seguro1830" displayName="Seguro1830" ref="B37:E42" totalsRowCount="1" headerRowDxfId="971" dataDxfId="970" totalsRowDxfId="969">
  <autoFilter ref="B37:E41"/>
  <tableColumns count="4">
    <tableColumn id="1" name="SEGURO" totalsRowLabel="Subtotal" totalsRowDxfId="968"/>
    <tableColumn id="2" name="COSTO PREVISTO" totalsRowFunction="sum" totalsRowDxfId="967"/>
    <tableColumn id="3" name="COSTO REAL" totalsRowFunction="sum" totalsRowDxfId="966"/>
    <tableColumn id="4" name="DIFERENCIA" totalsRowFunction="sum" totalsRowDxfId="965">
      <calculatedColumnFormula>Seguro1830[[#This Row],[COSTO PREVISTO]]-Seguro1830[[#This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seguro en esta tabla. La diferencia se calcula automáticamente."/>
    </ext>
  </extLst>
</table>
</file>

<file path=xl/tables/table18.xml><?xml version="1.0" encoding="utf-8"?>
<table xmlns="http://schemas.openxmlformats.org/spreadsheetml/2006/main" id="30" name="Impuestos1931" displayName="Impuestos1931" ref="G35:J40" totalsRowCount="1" headerRowDxfId="964" dataDxfId="963" totalsRowDxfId="962">
  <autoFilter ref="G35:J39"/>
  <tableColumns count="4">
    <tableColumn id="1" name="IMPUESTOS" totalsRowLabel="Subtotal" totalsRowDxfId="961"/>
    <tableColumn id="2" name="COSTO PREVISTO" totalsRowLabel="0,00 €" totalsRowDxfId="960"/>
    <tableColumn id="3" name="COSTO REAL" totalsRowLabel="0,00 €" totalsRowDxfId="959"/>
    <tableColumn id="4" name="DIFERENCIA" totalsRowFunction="sum" totalsRowDxfId="958">
      <calculatedColumnFormula>Impuestos1931[[#This Row],[COSTO PREVISTO]]-Impuestos1931[[#This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impuestos en esta tabla. La diferencia se calcula automáticamente."/>
    </ext>
  </extLst>
</table>
</file>

<file path=xl/tables/table19.xml><?xml version="1.0" encoding="utf-8"?>
<table xmlns="http://schemas.openxmlformats.org/spreadsheetml/2006/main" id="31" name="Ahorros2032" displayName="Ahorros2032" ref="G42:J46" totalsRowCount="1" headerRowDxfId="957" dataDxfId="956" totalsRowDxfId="955">
  <autoFilter ref="G42:J45"/>
  <tableColumns count="4">
    <tableColumn id="1" name="AHORROS O INVERSIONES" totalsRowLabel="Subtotal" totalsRowDxfId="954"/>
    <tableColumn id="2" name="COSTO PREVISTO" totalsRowLabel="0,00 €" totalsRowDxfId="953"/>
    <tableColumn id="3" name="COSTO REAL" totalsRowLabel="0,00 €" totalsRowDxfId="952"/>
    <tableColumn id="4" name="DIFERENCIA" totalsRowFunction="sum" totalsRowDxfId="951">
      <calculatedColumnFormula>Ahorros2032[[#This Row],[COSTO PREVISTO]]-Ahorros2032[[#This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horros en esta tabla. La diferencia se calcula automáticamente."/>
    </ext>
  </extLst>
</table>
</file>

<file path=xl/tables/table20.xml><?xml version="1.0" encoding="utf-8"?>
<table xmlns="http://schemas.openxmlformats.org/spreadsheetml/2006/main" id="32" name="Comida2133" displayName="Comida2133" ref="B44:E48" totalsRowCount="1" headerRowDxfId="950" dataDxfId="949" totalsRowDxfId="948">
  <autoFilter ref="B44:E47"/>
  <tableColumns count="4">
    <tableColumn id="1" name="COMIDA" totalsRowLabel="Subtotal" totalsRowDxfId="947"/>
    <tableColumn id="2" name="COSTO PREVISTO" totalsRowFunction="sum" totalsRowDxfId="946"/>
    <tableColumn id="3" name="COSTO REAL" totalsRowFunction="sum" totalsRowDxfId="945"/>
    <tableColumn id="4" name="DIFERENCIA" totalsRowFunction="sum" totalsRowDxfId="944">
      <calculatedColumnFormula>Comida2133[[#This Row],[COSTO PREVISTO]]-Comida2133[[#This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omida en esta tabla. La diferencia se calcula automáticamente."/>
    </ext>
  </extLst>
</table>
</file>

<file path=xl/tables/table21.xml><?xml version="1.0" encoding="utf-8"?>
<table xmlns="http://schemas.openxmlformats.org/spreadsheetml/2006/main" id="33" name="Regalos2234" displayName="Regalos2234" ref="G48:J52" totalsRowCount="1" headerRowDxfId="943" dataDxfId="942" totalsRowDxfId="941">
  <autoFilter ref="G48:J51"/>
  <tableColumns count="4">
    <tableColumn id="1" name="CUIDADO DE NIÑOS" totalsRowLabel="Subtotal" totalsRowDxfId="940"/>
    <tableColumn id="2" name="COSTO PREVISTO" totalsRowFunction="sum" totalsRowDxfId="939"/>
    <tableColumn id="3" name="COSTO REAL " totalsRowLabel="0,00 €" totalsRowDxfId="938"/>
    <tableColumn id="4" name="DIFERENCIA" totalsRowFunction="sum" totalsRowDxfId="937">
      <calculatedColumnFormula>Regalos2234[[#This Row],[COSTO PREVISTO]]-Regalos2234[[#This Row],[COSTO REAL ]]</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regalos en esta tabla. La diferencia se calcula automáticamente."/>
    </ext>
  </extLst>
</table>
</file>

<file path=xl/tables/table22.xml><?xml version="1.0" encoding="utf-8"?>
<table xmlns="http://schemas.openxmlformats.org/spreadsheetml/2006/main" id="34" name="Mascotas2335" displayName="Mascotas2335" ref="B50:E56" totalsRowCount="1" headerRowDxfId="936" dataDxfId="935" totalsRowDxfId="934">
  <autoFilter ref="B50:E55"/>
  <tableColumns count="4">
    <tableColumn id="1" name="MASCOTAS" totalsRowLabel="Subtotal" totalsRowDxfId="933"/>
    <tableColumn id="2" name="COSTO PREVISTO" totalsRowFunction="sum" totalsRowDxfId="932"/>
    <tableColumn id="3" name="COSTO REAL" totalsRowFunction="sum" totalsRowDxfId="931"/>
    <tableColumn id="4" name="DIFERENCIA" totalsRowFunction="sum" totalsRowDxfId="930">
      <calculatedColumnFormula>Mascotas2335[[#This Row],[COSTO PREVISTO]]-Mascotas2335[[#This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mascotas en esta tabla. La diferencia se calcula automáticamente."/>
    </ext>
  </extLst>
</table>
</file>

<file path=xl/tables/table23.xml><?xml version="1.0" encoding="utf-8"?>
<table xmlns="http://schemas.openxmlformats.org/spreadsheetml/2006/main" id="35" name="Legal2436" displayName="Legal2436" ref="G54:J59" totalsRowCount="1" headerRowDxfId="929" dataDxfId="928" totalsRowDxfId="927">
  <autoFilter ref="G54:J58"/>
  <tableColumns count="4">
    <tableColumn id="1" name="LEGAL" totalsRowLabel="Subtotal" totalsRowDxfId="926"/>
    <tableColumn id="2" name="COSTO PREVISTO" totalsRowLabel="0,00 €" totalsRowDxfId="925"/>
    <tableColumn id="3" name="COSTO REAL" totalsRowLabel="0,00 €" totalsRowDxfId="924"/>
    <tableColumn id="4" name="DIFERENCIA" totalsRowFunction="sum" totalsRowDxfId="923">
      <calculatedColumnFormula>Legal2436[[#This Row],[COSTO PREVISTO]]-Legal2436[[#This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legal en esta tabla. La diferencia se calcula automáticamente."/>
    </ext>
  </extLst>
</table>
</file>

<file path=xl/tables/table24.xml><?xml version="1.0" encoding="utf-8"?>
<table xmlns="http://schemas.openxmlformats.org/spreadsheetml/2006/main" id="36" name="CuidadoPersonal2537" displayName="CuidadoPersonal2537" ref="B58:E66" totalsRowCount="1" headerRowDxfId="922" dataDxfId="921" totalsRowDxfId="920">
  <autoFilter ref="B58:E65"/>
  <tableColumns count="4">
    <tableColumn id="1" name="CUIDADO PERSONAL" totalsRowLabel="Subtotal" totalsRowDxfId="919"/>
    <tableColumn id="2" name="Costo previsto" totalsRowFunction="sum" totalsRowDxfId="918"/>
    <tableColumn id="3" name="Coste real" totalsRowFunction="sum" totalsRowDxfId="917"/>
    <tableColumn id="4" name="Diferencia" totalsRowFunction="sum" totalsRowDxfId="916">
      <calculatedColumnFormula>CuidadoPersonal2537[[#This Row],[Costo previsto]]-CuidadoPersonal2537[[#This Row],[Coste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uidado personal en esta tabla. La diferencia se calcula automáticamente."/>
    </ext>
  </extLst>
</table>
</file>

<file path=xl/tables/table25.xml><?xml version="1.0" encoding="utf-8"?>
<table xmlns="http://schemas.openxmlformats.org/spreadsheetml/2006/main" id="37" name="Alojamiento1438" displayName="Alojamiento1438" ref="B14:E25" totalsRowCount="1" headerRowDxfId="915" dataDxfId="914" totalsRowDxfId="913">
  <autoFilter ref="B14:E24"/>
  <tableColumns count="4">
    <tableColumn id="1" name="HOGAR Y VIVIENDA" totalsRowLabel="Subtotal" totalsRowDxfId="912"/>
    <tableColumn id="2" name="COSTO PREVISTO" totalsRowFunction="sum" totalsRowDxfId="911"/>
    <tableColumn id="3" name="COSTO REAL" totalsRowFunction="sum" totalsRowDxfId="910"/>
    <tableColumn id="4" name="DIFERENCIA" totalsRowFunction="sum" totalsRowDxfId="909">
      <calculatedColumnFormula>Alojamiento1438[[#This Row],[COSTO PREVISTO]]-Alojamiento1438[[#This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lojamiento en esta tabla. La diferencia se calcula automáticamente."/>
    </ext>
  </extLst>
</table>
</file>

<file path=xl/tables/table26.xml><?xml version="1.0" encoding="utf-8"?>
<table xmlns="http://schemas.openxmlformats.org/spreadsheetml/2006/main" id="38" name="Entretenimiento1539" displayName="Entretenimiento1539" ref="G14:J24" totalsRowCount="1" headerRowDxfId="908" dataDxfId="907" totalsRowDxfId="906">
  <autoFilter ref="G14:J23"/>
  <tableColumns count="4">
    <tableColumn id="1" name="ENTRETENIMIENTO" totalsRowLabel="Subtotal" totalsRowDxfId="905"/>
    <tableColumn id="2" name="COSTO PREVISTO" totalsRowLabel="0,00 €" totalsRowDxfId="904"/>
    <tableColumn id="3" name="COSTO REAL" totalsRowLabel="0,00 €" totalsRowDxfId="903"/>
    <tableColumn id="4" name="DIFERENCIA" totalsRowFunction="sum" totalsRowDxfId="902">
      <calculatedColumnFormula>Entretenimiento1539[[#This Row],[COSTO PREVISTO]]-Entretenimiento1539[[#This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entretenimiento en esta tabla. La diferencia se calcula automáticamente."/>
    </ext>
  </extLst>
</table>
</file>

<file path=xl/tables/table27.xml><?xml version="1.0" encoding="utf-8"?>
<table xmlns="http://schemas.openxmlformats.org/spreadsheetml/2006/main" id="39" name="Prestamos1640" displayName="Prestamos1640" ref="G26:J33" totalsRowCount="1" headerRowDxfId="901" dataDxfId="900" totalsRowDxfId="899">
  <autoFilter ref="G26:J32"/>
  <tableColumns count="4">
    <tableColumn id="1" name="PRÉSTAMOS" totalsRowLabel="Subtotal" dataDxfId="898" totalsRowDxfId="897"/>
    <tableColumn id="2" name="COSTO PREVISTO" totalsRowLabel="0,00 €" dataDxfId="896" totalsRowDxfId="895"/>
    <tableColumn id="3" name="COSTO REAL" totalsRowLabel="0,00 €" dataDxfId="894" totalsRowDxfId="893"/>
    <tableColumn id="4" name="DIFERENCIA" totalsRowFunction="sum" dataDxfId="892" totalsRowDxfId="891">
      <calculatedColumnFormula>Prestamos1640[[#This Row],[COSTO PREVISTO]]-Prestamos1640[[#This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préstamos en esta tabla. La diferencia se calcula automáticamente."/>
    </ext>
  </extLst>
</table>
</file>

<file path=xl/tables/table28.xml><?xml version="1.0" encoding="utf-8"?>
<table xmlns="http://schemas.openxmlformats.org/spreadsheetml/2006/main" id="40" name="Transporte1741" displayName="Transporte1741" ref="B27:E35" totalsRowCount="1" headerRowDxfId="890" dataDxfId="889" totalsRowDxfId="888">
  <autoFilter ref="B27:E34"/>
  <tableColumns count="4">
    <tableColumn id="1" name="TRANSPORTE" totalsRowLabel="Subtotal" totalsRowDxfId="887"/>
    <tableColumn id="2" name="Costo previsto" totalsRowFunction="sum" totalsRowDxfId="886"/>
    <tableColumn id="3" name="Costo real" totalsRowFunction="sum" totalsRowDxfId="885"/>
    <tableColumn id="4" name="Diferencia" totalsRowFunction="sum" totalsRowDxfId="884">
      <calculatedColumnFormula>Transporte1741[[#This Row],[Costo previsto]]-Transporte1741[[#This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transporte en esta tabla. La diferencia se calcula automáticamente."/>
    </ext>
  </extLst>
</table>
</file>

<file path=xl/tables/table29.xml><?xml version="1.0" encoding="utf-8"?>
<table xmlns="http://schemas.openxmlformats.org/spreadsheetml/2006/main" id="41" name="Seguro1842" displayName="Seguro1842" ref="B37:E42" totalsRowCount="1" headerRowDxfId="883" dataDxfId="882" totalsRowDxfId="881">
  <autoFilter ref="B37:E41"/>
  <tableColumns count="4">
    <tableColumn id="1" name="SEGURO" totalsRowLabel="Subtotal" totalsRowDxfId="880"/>
    <tableColumn id="2" name="COSTO PREVISTO" totalsRowFunction="sum" totalsRowDxfId="879"/>
    <tableColumn id="3" name="COSTO REAL" totalsRowFunction="sum" totalsRowDxfId="878"/>
    <tableColumn id="4" name="DIFERENCIA" totalsRowFunction="sum" totalsRowDxfId="877">
      <calculatedColumnFormula>Seguro1842[[#This Row],[COSTO PREVISTO]]-Seguro1842[[#This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seguro en esta tabla. La diferencia se calcula automáticamente."/>
    </ext>
  </extLst>
</table>
</file>

<file path=xl/tables/table30.xml><?xml version="1.0" encoding="utf-8"?>
<table xmlns="http://schemas.openxmlformats.org/spreadsheetml/2006/main" id="42" name="Impuestos1943" displayName="Impuestos1943" ref="G35:J40" totalsRowCount="1" headerRowDxfId="876" dataDxfId="875" totalsRowDxfId="874">
  <autoFilter ref="G35:J39"/>
  <tableColumns count="4">
    <tableColumn id="1" name="IMPUESTOS" totalsRowLabel="Subtotal" totalsRowDxfId="873"/>
    <tableColumn id="2" name="COSTO PREVISTO" totalsRowLabel="0,00 €" totalsRowDxfId="872"/>
    <tableColumn id="3" name="COSTO REAL" totalsRowLabel="0,00 €" totalsRowDxfId="871"/>
    <tableColumn id="4" name="DIFERENCIA" totalsRowFunction="sum" totalsRowDxfId="870">
      <calculatedColumnFormula>Impuestos1943[[#This Row],[COSTO PREVISTO]]-Impuestos1943[[#This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impuestos en esta tabla. La diferencia se calcula automáticamente."/>
    </ext>
  </extLst>
</table>
</file>

<file path=xl/tables/table31.xml><?xml version="1.0" encoding="utf-8"?>
<table xmlns="http://schemas.openxmlformats.org/spreadsheetml/2006/main" id="43" name="Ahorros2044" displayName="Ahorros2044" ref="G42:J46" totalsRowCount="1" headerRowDxfId="869" dataDxfId="868" totalsRowDxfId="867">
  <autoFilter ref="G42:J45"/>
  <tableColumns count="4">
    <tableColumn id="1" name="AHORROS O INVERSIONES" totalsRowLabel="Subtotal" totalsRowDxfId="866"/>
    <tableColumn id="2" name="COSTO PREVISTO" totalsRowLabel="0,00 €" totalsRowDxfId="865"/>
    <tableColumn id="3" name="COSTO REAL" totalsRowLabel="0,00 €" totalsRowDxfId="864"/>
    <tableColumn id="4" name="DIFERENCIA" totalsRowFunction="sum" totalsRowDxfId="863">
      <calculatedColumnFormula>Ahorros2044[[#This Row],[COSTO PREVISTO]]-Ahorros2044[[#This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horros en esta tabla. La diferencia se calcula automáticamente."/>
    </ext>
  </extLst>
</table>
</file>

<file path=xl/tables/table32.xml><?xml version="1.0" encoding="utf-8"?>
<table xmlns="http://schemas.openxmlformats.org/spreadsheetml/2006/main" id="44" name="Comida2145" displayName="Comida2145" ref="B44:E48" totalsRowCount="1" headerRowDxfId="862" dataDxfId="861" totalsRowDxfId="860">
  <autoFilter ref="B44:E47"/>
  <tableColumns count="4">
    <tableColumn id="1" name="COMIDA" totalsRowLabel="Subtotal" totalsRowDxfId="859"/>
    <tableColumn id="2" name="COSTO PREVISTO" totalsRowFunction="sum" totalsRowDxfId="858"/>
    <tableColumn id="3" name="COSTO REAL" totalsRowFunction="sum" totalsRowDxfId="857"/>
    <tableColumn id="4" name="DIFERENCIA" totalsRowFunction="sum" totalsRowDxfId="856">
      <calculatedColumnFormula>Comida2145[[#This Row],[COSTO PREVISTO]]-Comida2145[[#This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omida en esta tabla. La diferencia se calcula automáticamente."/>
    </ext>
  </extLst>
</table>
</file>

<file path=xl/tables/table33.xml><?xml version="1.0" encoding="utf-8"?>
<table xmlns="http://schemas.openxmlformats.org/spreadsheetml/2006/main" id="45" name="Regalos2246" displayName="Regalos2246" ref="G48:J52" totalsRowCount="1" headerRowDxfId="855" dataDxfId="854" totalsRowDxfId="853">
  <autoFilter ref="G48:J51"/>
  <tableColumns count="4">
    <tableColumn id="1" name="CUIDADO DE NIÑOS" totalsRowLabel="Subtotal" totalsRowDxfId="852"/>
    <tableColumn id="2" name="COSTO PREVISTO" totalsRowFunction="sum" totalsRowDxfId="851"/>
    <tableColumn id="3" name="COSTO REAL " totalsRowLabel="0,00 €" totalsRowDxfId="850"/>
    <tableColumn id="4" name="DIFERENCIA" totalsRowFunction="sum" totalsRowDxfId="849">
      <calculatedColumnFormula>Regalos2246[[#This Row],[COSTO PREVISTO]]-Regalos2246[[#This Row],[COSTO REAL ]]</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regalos en esta tabla. La diferencia se calcula automáticamente."/>
    </ext>
  </extLst>
</table>
</file>

<file path=xl/tables/table34.xml><?xml version="1.0" encoding="utf-8"?>
<table xmlns="http://schemas.openxmlformats.org/spreadsheetml/2006/main" id="46" name="Mascotas2347" displayName="Mascotas2347" ref="B50:E56" totalsRowCount="1" headerRowDxfId="848" dataDxfId="847" totalsRowDxfId="846">
  <autoFilter ref="B50:E55"/>
  <tableColumns count="4">
    <tableColumn id="1" name="MASCOTAS" totalsRowLabel="Subtotal" totalsRowDxfId="845"/>
    <tableColumn id="2" name="COSTO PREVISTO" totalsRowFunction="sum" totalsRowDxfId="844"/>
    <tableColumn id="3" name="COSTO REAL" totalsRowFunction="sum" totalsRowDxfId="843"/>
    <tableColumn id="4" name="DIFERENCIA" totalsRowFunction="sum" totalsRowDxfId="842">
      <calculatedColumnFormula>Mascotas2347[[#This Row],[COSTO PREVISTO]]-Mascotas2347[[#This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mascotas en esta tabla. La diferencia se calcula automáticamente."/>
    </ext>
  </extLst>
</table>
</file>

<file path=xl/tables/table35.xml><?xml version="1.0" encoding="utf-8"?>
<table xmlns="http://schemas.openxmlformats.org/spreadsheetml/2006/main" id="47" name="Legal2448" displayName="Legal2448" ref="G54:J59" totalsRowCount="1" headerRowDxfId="841" dataDxfId="840" totalsRowDxfId="839">
  <autoFilter ref="G54:J58"/>
  <tableColumns count="4">
    <tableColumn id="1" name="LEGAL" totalsRowLabel="Subtotal" totalsRowDxfId="838"/>
    <tableColumn id="2" name="COSTO PREVISTO" totalsRowLabel="0,00 €" totalsRowDxfId="837"/>
    <tableColumn id="3" name="COSTO REAL" totalsRowLabel="0,00 €" totalsRowDxfId="836"/>
    <tableColumn id="4" name="DIFERENCIA" totalsRowFunction="sum" totalsRowDxfId="835">
      <calculatedColumnFormula>Legal2448[[#This Row],[COSTO PREVISTO]]-Legal2448[[#This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legal en esta tabla. La diferencia se calcula automáticamente."/>
    </ext>
  </extLst>
</table>
</file>

<file path=xl/tables/table36.xml><?xml version="1.0" encoding="utf-8"?>
<table xmlns="http://schemas.openxmlformats.org/spreadsheetml/2006/main" id="48" name="CuidadoPersonal2549" displayName="CuidadoPersonal2549" ref="B58:E66" totalsRowCount="1" headerRowDxfId="834" dataDxfId="833" totalsRowDxfId="832">
  <autoFilter ref="B58:E65"/>
  <tableColumns count="4">
    <tableColumn id="1" name="CUIDADO PERSONAL" totalsRowLabel="Subtotal" totalsRowDxfId="831"/>
    <tableColumn id="2" name="Costo previsto" totalsRowFunction="sum" totalsRowDxfId="830"/>
    <tableColumn id="3" name="Coste real" totalsRowFunction="sum" totalsRowDxfId="829"/>
    <tableColumn id="4" name="Diferencia" totalsRowFunction="sum" totalsRowDxfId="828">
      <calculatedColumnFormula>CuidadoPersonal2549[[#This Row],[Costo previsto]]-CuidadoPersonal2549[[#This Row],[Coste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uidado personal en esta tabla. La diferencia se calcula automáticamente."/>
    </ext>
  </extLst>
</table>
</file>

<file path=xl/tables/table37.xml><?xml version="1.0" encoding="utf-8"?>
<table xmlns="http://schemas.openxmlformats.org/spreadsheetml/2006/main" id="49" name="Alojamiento143850" displayName="Alojamiento143850" ref="B14:E25" totalsRowCount="1" headerRowDxfId="827" dataDxfId="826" totalsRowDxfId="825">
  <autoFilter ref="B14:E24"/>
  <tableColumns count="4">
    <tableColumn id="1" name="HOGAR Y VIVIENDA" totalsRowLabel="Subtotal" totalsRowDxfId="824"/>
    <tableColumn id="2" name="COSTO PREVISTO" totalsRowFunction="sum" totalsRowDxfId="823"/>
    <tableColumn id="3" name="COSTO REAL" totalsRowFunction="sum" totalsRowDxfId="822"/>
    <tableColumn id="4" name="DIFERENCIA" totalsRowFunction="sum" totalsRowDxfId="821">
      <calculatedColumnFormula>Alojamiento143850[[#This Row],[COSTO PREVISTO]]-Alojamiento143850[[#This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lojamiento en esta tabla. La diferencia se calcula automáticamente."/>
    </ext>
  </extLst>
</table>
</file>

<file path=xl/tables/table38.xml><?xml version="1.0" encoding="utf-8"?>
<table xmlns="http://schemas.openxmlformats.org/spreadsheetml/2006/main" id="50" name="Entretenimiento153951" displayName="Entretenimiento153951" ref="G14:J24" totalsRowCount="1" headerRowDxfId="820" dataDxfId="819" totalsRowDxfId="818">
  <autoFilter ref="G14:J23"/>
  <tableColumns count="4">
    <tableColumn id="1" name="ENTRETENIMIENTO" totalsRowLabel="Subtotal" totalsRowDxfId="817"/>
    <tableColumn id="2" name="COSTO PREVISTO" totalsRowLabel="0,00 €" totalsRowDxfId="816"/>
    <tableColumn id="3" name="COSTO REAL" totalsRowLabel="0,00 €" totalsRowDxfId="815"/>
    <tableColumn id="4" name="DIFERENCIA" totalsRowFunction="sum" totalsRowDxfId="814">
      <calculatedColumnFormula>Entretenimiento153951[[#This Row],[COSTO PREVISTO]]-Entretenimiento153951[[#This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entretenimiento en esta tabla. La diferencia se calcula automáticamente."/>
    </ext>
  </extLst>
</table>
</file>

<file path=xl/tables/table39.xml><?xml version="1.0" encoding="utf-8"?>
<table xmlns="http://schemas.openxmlformats.org/spreadsheetml/2006/main" id="51" name="Prestamos164052" displayName="Prestamos164052" ref="G26:J33" totalsRowCount="1" headerRowDxfId="813" dataDxfId="812" totalsRowDxfId="811">
  <autoFilter ref="G26:J32"/>
  <tableColumns count="4">
    <tableColumn id="1" name="PRÉSTAMOS" totalsRowLabel="Subtotal" dataDxfId="810" totalsRowDxfId="809"/>
    <tableColumn id="2" name="COSTO PREVISTO" totalsRowLabel="0,00 €" dataDxfId="808" totalsRowDxfId="807"/>
    <tableColumn id="3" name="COSTO REAL" totalsRowLabel="0,00 €" dataDxfId="806" totalsRowDxfId="805"/>
    <tableColumn id="4" name="DIFERENCIA" totalsRowFunction="sum" dataDxfId="804" totalsRowDxfId="803">
      <calculatedColumnFormula>Prestamos164052[[#This Row],[COSTO PREVISTO]]-Prestamos164052[[#This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préstamos en esta tabla. La diferencia se calcula automáticamente."/>
    </ext>
  </extLst>
</table>
</file>

<file path=xl/tables/table40.xml><?xml version="1.0" encoding="utf-8"?>
<table xmlns="http://schemas.openxmlformats.org/spreadsheetml/2006/main" id="52" name="Transporte174153" displayName="Transporte174153" ref="B27:E35" totalsRowCount="1" headerRowDxfId="802" dataDxfId="801" totalsRowDxfId="800">
  <autoFilter ref="B27:E34"/>
  <tableColumns count="4">
    <tableColumn id="1" name="TRANSPORTE" totalsRowLabel="Subtotal" totalsRowDxfId="799"/>
    <tableColumn id="2" name="Costo previsto" totalsRowFunction="sum" totalsRowDxfId="798"/>
    <tableColumn id="3" name="Costo real" totalsRowFunction="sum" totalsRowDxfId="797"/>
    <tableColumn id="4" name="Diferencia" totalsRowFunction="sum" totalsRowDxfId="796">
      <calculatedColumnFormula>Transporte174153[[#This Row],[Costo previsto]]-Transporte174153[[#This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transporte en esta tabla. La diferencia se calcula automáticamente."/>
    </ext>
  </extLst>
</table>
</file>

<file path=xl/tables/table41.xml><?xml version="1.0" encoding="utf-8"?>
<table xmlns="http://schemas.openxmlformats.org/spreadsheetml/2006/main" id="53" name="Seguro184254" displayName="Seguro184254" ref="B37:E42" totalsRowCount="1" headerRowDxfId="795" dataDxfId="794" totalsRowDxfId="793">
  <autoFilter ref="B37:E41"/>
  <tableColumns count="4">
    <tableColumn id="1" name="SEGURO" totalsRowLabel="Subtotal" totalsRowDxfId="792"/>
    <tableColumn id="2" name="COSTO PREVISTO" totalsRowFunction="sum" totalsRowDxfId="791"/>
    <tableColumn id="3" name="COSTO REAL" totalsRowFunction="sum" totalsRowDxfId="790"/>
    <tableColumn id="4" name="DIFERENCIA" totalsRowFunction="sum" totalsRowDxfId="789">
      <calculatedColumnFormula>Seguro184254[[#This Row],[COSTO PREVISTO]]-Seguro184254[[#This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seguro en esta tabla. La diferencia se calcula automáticamente."/>
    </ext>
  </extLst>
</table>
</file>

<file path=xl/tables/table42.xml><?xml version="1.0" encoding="utf-8"?>
<table xmlns="http://schemas.openxmlformats.org/spreadsheetml/2006/main" id="54" name="Impuestos194355" displayName="Impuestos194355" ref="G35:J40" totalsRowCount="1" headerRowDxfId="788" dataDxfId="787" totalsRowDxfId="786">
  <autoFilter ref="G35:J39"/>
  <tableColumns count="4">
    <tableColumn id="1" name="IMPUESTOS" totalsRowLabel="Subtotal" totalsRowDxfId="785"/>
    <tableColumn id="2" name="COSTO PREVISTO" totalsRowLabel="0,00 €" totalsRowDxfId="784"/>
    <tableColumn id="3" name="COSTO REAL" totalsRowLabel="0,00 €" totalsRowDxfId="783"/>
    <tableColumn id="4" name="DIFERENCIA" totalsRowFunction="sum" totalsRowDxfId="782">
      <calculatedColumnFormula>Impuestos194355[[#This Row],[COSTO PREVISTO]]-Impuestos194355[[#This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impuestos en esta tabla. La diferencia se calcula automáticamente."/>
    </ext>
  </extLst>
</table>
</file>

<file path=xl/tables/table43.xml><?xml version="1.0" encoding="utf-8"?>
<table xmlns="http://schemas.openxmlformats.org/spreadsheetml/2006/main" id="55" name="Ahorros204456" displayName="Ahorros204456" ref="G42:J46" totalsRowCount="1" headerRowDxfId="781" dataDxfId="780" totalsRowDxfId="779">
  <autoFilter ref="G42:J45"/>
  <tableColumns count="4">
    <tableColumn id="1" name="AHORROS O INVERSIONES" totalsRowLabel="Subtotal" totalsRowDxfId="778"/>
    <tableColumn id="2" name="COSTO PREVISTO" totalsRowLabel="0,00 €" totalsRowDxfId="777"/>
    <tableColumn id="3" name="COSTO REAL" totalsRowLabel="0,00 €" totalsRowDxfId="776"/>
    <tableColumn id="4" name="DIFERENCIA" totalsRowFunction="sum" totalsRowDxfId="775">
      <calculatedColumnFormula>Ahorros204456[[#This Row],[COSTO PREVISTO]]-Ahorros204456[[#This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horros en esta tabla. La diferencia se calcula automáticamente."/>
    </ext>
  </extLst>
</table>
</file>

<file path=xl/tables/table44.xml><?xml version="1.0" encoding="utf-8"?>
<table xmlns="http://schemas.openxmlformats.org/spreadsheetml/2006/main" id="56" name="Comida214557" displayName="Comida214557" ref="B44:E48" totalsRowCount="1" headerRowDxfId="774" dataDxfId="773" totalsRowDxfId="772">
  <autoFilter ref="B44:E47"/>
  <tableColumns count="4">
    <tableColumn id="1" name="COMIDA" totalsRowLabel="Subtotal" totalsRowDxfId="771"/>
    <tableColumn id="2" name="COSTO PREVISTO" totalsRowFunction="sum" totalsRowDxfId="770"/>
    <tableColumn id="3" name="COSTO REAL" totalsRowFunction="sum" totalsRowDxfId="769"/>
    <tableColumn id="4" name="DIFERENCIA" totalsRowFunction="sum" totalsRowDxfId="768">
      <calculatedColumnFormula>Comida214557[[#This Row],[COSTO PREVISTO]]-Comida214557[[#This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omida en esta tabla. La diferencia se calcula automáticamente."/>
    </ext>
  </extLst>
</table>
</file>

<file path=xl/tables/table45.xml><?xml version="1.0" encoding="utf-8"?>
<table xmlns="http://schemas.openxmlformats.org/spreadsheetml/2006/main" id="57" name="Regalos224658" displayName="Regalos224658" ref="G48:J52" totalsRowCount="1" headerRowDxfId="767" dataDxfId="766" totalsRowDxfId="765">
  <autoFilter ref="G48:J51"/>
  <tableColumns count="4">
    <tableColumn id="1" name="CUIDADO DE NIÑOS" totalsRowLabel="Subtotal" totalsRowDxfId="764"/>
    <tableColumn id="2" name="COSTO PREVISTO" totalsRowFunction="sum" totalsRowDxfId="763"/>
    <tableColumn id="3" name="COSTO REAL " totalsRowLabel="0,00 €" totalsRowDxfId="762"/>
    <tableColumn id="4" name="DIFERENCIA" totalsRowFunction="sum" totalsRowDxfId="761">
      <calculatedColumnFormula>Regalos224658[[#This Row],[COSTO PREVISTO]]-Regalos224658[[#This Row],[COSTO REAL ]]</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regalos en esta tabla. La diferencia se calcula automáticamente."/>
    </ext>
  </extLst>
</table>
</file>

<file path=xl/tables/table46.xml><?xml version="1.0" encoding="utf-8"?>
<table xmlns="http://schemas.openxmlformats.org/spreadsheetml/2006/main" id="58" name="Mascotas234759" displayName="Mascotas234759" ref="B50:E56" totalsRowCount="1" headerRowDxfId="760" dataDxfId="759" totalsRowDxfId="758">
  <autoFilter ref="B50:E55"/>
  <tableColumns count="4">
    <tableColumn id="1" name="MASCOTAS" totalsRowLabel="Subtotal" totalsRowDxfId="757"/>
    <tableColumn id="2" name="COSTO PREVISTO" totalsRowFunction="sum" totalsRowDxfId="756"/>
    <tableColumn id="3" name="COSTO REAL" totalsRowFunction="sum" totalsRowDxfId="755"/>
    <tableColumn id="4" name="DIFERENCIA" totalsRowFunction="sum" totalsRowDxfId="754">
      <calculatedColumnFormula>Mascotas234759[[#This Row],[COSTO PREVISTO]]-Mascotas234759[[#This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mascotas en esta tabla. La diferencia se calcula automáticamente."/>
    </ext>
  </extLst>
</table>
</file>

<file path=xl/tables/table47.xml><?xml version="1.0" encoding="utf-8"?>
<table xmlns="http://schemas.openxmlformats.org/spreadsheetml/2006/main" id="59" name="Legal244860" displayName="Legal244860" ref="G54:J59" totalsRowCount="1" headerRowDxfId="753" dataDxfId="752" totalsRowDxfId="751">
  <autoFilter ref="G54:J58"/>
  <tableColumns count="4">
    <tableColumn id="1" name="LEGAL" totalsRowLabel="Subtotal" totalsRowDxfId="750"/>
    <tableColumn id="2" name="COSTO PREVISTO" totalsRowLabel="0,00 €" totalsRowDxfId="749"/>
    <tableColumn id="3" name="COSTO REAL" totalsRowLabel="0,00 €" totalsRowDxfId="748"/>
    <tableColumn id="4" name="DIFERENCIA" totalsRowFunction="sum" totalsRowDxfId="747">
      <calculatedColumnFormula>Legal244860[[#This Row],[COSTO PREVISTO]]-Legal244860[[#This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legal en esta tabla. La diferencia se calcula automáticamente."/>
    </ext>
  </extLst>
</table>
</file>

<file path=xl/tables/table48.xml><?xml version="1.0" encoding="utf-8"?>
<table xmlns="http://schemas.openxmlformats.org/spreadsheetml/2006/main" id="60" name="CuidadoPersonal254961" displayName="CuidadoPersonal254961" ref="B58:E66" totalsRowCount="1" headerRowDxfId="746" dataDxfId="745" totalsRowDxfId="744">
  <autoFilter ref="B58:E65"/>
  <tableColumns count="4">
    <tableColumn id="1" name="CUIDADO PERSONAL" totalsRowLabel="Subtotal" totalsRowDxfId="743"/>
    <tableColumn id="2" name="Costo previsto" totalsRowFunction="sum" totalsRowDxfId="742"/>
    <tableColumn id="3" name="Coste real" totalsRowFunction="sum" totalsRowDxfId="741"/>
    <tableColumn id="4" name="Diferencia" totalsRowFunction="sum" totalsRowDxfId="740">
      <calculatedColumnFormula>CuidadoPersonal254961[[#This Row],[Costo previsto]]-CuidadoPersonal254961[[#This Row],[Coste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uidado personal en esta tabla. La diferencia se calcula automáticamente."/>
    </ext>
  </extLst>
</table>
</file>

<file path=xl/tables/table49.xml><?xml version="1.0" encoding="utf-8"?>
<table xmlns="http://schemas.openxmlformats.org/spreadsheetml/2006/main" id="61" name="Alojamiento14385062" displayName="Alojamiento14385062" ref="B14:E25" totalsRowCount="1" headerRowDxfId="739" dataDxfId="738" totalsRowDxfId="737">
  <autoFilter ref="B14:E24"/>
  <tableColumns count="4">
    <tableColumn id="1" name="HOGAR Y VIVIENDA" totalsRowLabel="Subtotal" totalsRowDxfId="736"/>
    <tableColumn id="2" name="COSTO PREVISTO" totalsRowFunction="sum" totalsRowDxfId="735"/>
    <tableColumn id="3" name="COSTO REAL" totalsRowFunction="sum" totalsRowDxfId="734"/>
    <tableColumn id="4" name="DIFERENCIA" totalsRowFunction="sum" totalsRowDxfId="733">
      <calculatedColumnFormula>Alojamiento14385062[[#This Row],[COSTO PREVISTO]]-Alojamiento14385062[[#This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lojamiento en esta tabla. La diferencia se calcula automáticamente."/>
    </ext>
  </extLst>
</table>
</file>

<file path=xl/tables/table50.xml><?xml version="1.0" encoding="utf-8"?>
<table xmlns="http://schemas.openxmlformats.org/spreadsheetml/2006/main" id="62" name="Entretenimiento15395163" displayName="Entretenimiento15395163" ref="G14:J24" totalsRowCount="1" headerRowDxfId="732" dataDxfId="731" totalsRowDxfId="730">
  <autoFilter ref="G14:J23"/>
  <tableColumns count="4">
    <tableColumn id="1" name="ENTRETENIMIENTO" totalsRowLabel="Subtotal" totalsRowDxfId="729"/>
    <tableColumn id="2" name="COSTO PREVISTO" totalsRowLabel="0,00 €" totalsRowDxfId="728"/>
    <tableColumn id="3" name="COSTO REAL" totalsRowLabel="0,00 €" totalsRowDxfId="727"/>
    <tableColumn id="4" name="DIFERENCIA" totalsRowFunction="sum" totalsRowDxfId="726">
      <calculatedColumnFormula>Entretenimiento15395163[[#This Row],[COSTO PREVISTO]]-Entretenimiento15395163[[#This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entretenimiento en esta tabla. La diferencia se calcula automáticamente."/>
    </ext>
  </extLst>
</table>
</file>

<file path=xl/tables/table51.xml><?xml version="1.0" encoding="utf-8"?>
<table xmlns="http://schemas.openxmlformats.org/spreadsheetml/2006/main" id="63" name="Prestamos16405264" displayName="Prestamos16405264" ref="G26:J33" totalsRowCount="1" headerRowDxfId="725" dataDxfId="724" totalsRowDxfId="723">
  <autoFilter ref="G26:J32"/>
  <tableColumns count="4">
    <tableColumn id="1" name="PRÉSTAMOS" totalsRowLabel="Subtotal" dataDxfId="722" totalsRowDxfId="721"/>
    <tableColumn id="2" name="COSTO PREVISTO" totalsRowLabel="0,00 €" dataDxfId="720" totalsRowDxfId="719"/>
    <tableColumn id="3" name="COSTO REAL" totalsRowLabel="0,00 €" dataDxfId="718" totalsRowDxfId="717"/>
    <tableColumn id="4" name="DIFERENCIA" totalsRowFunction="sum" dataDxfId="716" totalsRowDxfId="715">
      <calculatedColumnFormula>Prestamos16405264[[#This Row],[COSTO PREVISTO]]-Prestamos16405264[[#This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préstamos en esta tabla. La diferencia se calcula automáticamente."/>
    </ext>
  </extLst>
</table>
</file>

<file path=xl/tables/table52.xml><?xml version="1.0" encoding="utf-8"?>
<table xmlns="http://schemas.openxmlformats.org/spreadsheetml/2006/main" id="64" name="Transporte17415365" displayName="Transporte17415365" ref="B27:E35" totalsRowCount="1" headerRowDxfId="714" dataDxfId="713" totalsRowDxfId="712">
  <autoFilter ref="B27:E34"/>
  <tableColumns count="4">
    <tableColumn id="1" name="TRANSPORTE" totalsRowLabel="Subtotal" totalsRowDxfId="711"/>
    <tableColumn id="2" name="Costo previsto" totalsRowFunction="sum" totalsRowDxfId="710"/>
    <tableColumn id="3" name="Costo real" totalsRowFunction="sum" totalsRowDxfId="709"/>
    <tableColumn id="4" name="Diferencia" totalsRowFunction="sum" totalsRowDxfId="708">
      <calculatedColumnFormula>Transporte17415365[[#This Row],[Costo previsto]]-Transporte17415365[[#This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transporte en esta tabla. La diferencia se calcula automáticamente."/>
    </ext>
  </extLst>
</table>
</file>

<file path=xl/tables/table53.xml><?xml version="1.0" encoding="utf-8"?>
<table xmlns="http://schemas.openxmlformats.org/spreadsheetml/2006/main" id="65" name="Seguro18425466" displayName="Seguro18425466" ref="B37:E42" totalsRowCount="1" headerRowDxfId="707" dataDxfId="706" totalsRowDxfId="705">
  <autoFilter ref="B37:E41"/>
  <tableColumns count="4">
    <tableColumn id="1" name="SEGURO" totalsRowLabel="Subtotal" totalsRowDxfId="704"/>
    <tableColumn id="2" name="COSTO PREVISTO" totalsRowFunction="sum" totalsRowDxfId="703"/>
    <tableColumn id="3" name="COSTO REAL" totalsRowFunction="sum" totalsRowDxfId="702"/>
    <tableColumn id="4" name="DIFERENCIA" totalsRowFunction="sum" totalsRowDxfId="701">
      <calculatedColumnFormula>Seguro18425466[[#This Row],[COSTO PREVISTO]]-Seguro18425466[[#This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seguro en esta tabla. La diferencia se calcula automáticamente."/>
    </ext>
  </extLst>
</table>
</file>

<file path=xl/tables/table54.xml><?xml version="1.0" encoding="utf-8"?>
<table xmlns="http://schemas.openxmlformats.org/spreadsheetml/2006/main" id="66" name="Impuestos19435567" displayName="Impuestos19435567" ref="G35:J40" totalsRowCount="1" headerRowDxfId="700" dataDxfId="699" totalsRowDxfId="698">
  <autoFilter ref="G35:J39"/>
  <tableColumns count="4">
    <tableColumn id="1" name="IMPUESTOS" totalsRowLabel="Subtotal" totalsRowDxfId="697"/>
    <tableColumn id="2" name="COSTO PREVISTO" totalsRowLabel="0,00 €" totalsRowDxfId="696"/>
    <tableColumn id="3" name="COSTO REAL" totalsRowLabel="0,00 €" totalsRowDxfId="695"/>
    <tableColumn id="4" name="DIFERENCIA" totalsRowFunction="sum" totalsRowDxfId="694">
      <calculatedColumnFormula>Impuestos19435567[[#This Row],[COSTO PREVISTO]]-Impuestos19435567[[#This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impuestos en esta tabla. La diferencia se calcula automáticamente."/>
    </ext>
  </extLst>
</table>
</file>

<file path=xl/tables/table55.xml><?xml version="1.0" encoding="utf-8"?>
<table xmlns="http://schemas.openxmlformats.org/spreadsheetml/2006/main" id="67" name="Ahorros20445668" displayName="Ahorros20445668" ref="G42:J46" totalsRowCount="1" headerRowDxfId="693" dataDxfId="692" totalsRowDxfId="691">
  <autoFilter ref="G42:J45"/>
  <tableColumns count="4">
    <tableColumn id="1" name="AHORROS O INVERSIONES" totalsRowLabel="Subtotal" totalsRowDxfId="690"/>
    <tableColumn id="2" name="COSTO PREVISTO" totalsRowLabel="0,00 €" totalsRowDxfId="689"/>
    <tableColumn id="3" name="COSTO REAL" totalsRowLabel="0,00 €" totalsRowDxfId="688"/>
    <tableColumn id="4" name="DIFERENCIA" totalsRowFunction="sum" totalsRowDxfId="687">
      <calculatedColumnFormula>Ahorros20445668[[#This Row],[COSTO PREVISTO]]-Ahorros20445668[[#This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horros en esta tabla. La diferencia se calcula automáticamente."/>
    </ext>
  </extLst>
</table>
</file>

<file path=xl/tables/table56.xml><?xml version="1.0" encoding="utf-8"?>
<table xmlns="http://schemas.openxmlformats.org/spreadsheetml/2006/main" id="68" name="Comida21455769" displayName="Comida21455769" ref="B44:E48" totalsRowCount="1" headerRowDxfId="686" dataDxfId="685" totalsRowDxfId="684">
  <autoFilter ref="B44:E47"/>
  <tableColumns count="4">
    <tableColumn id="1" name="COMIDA" totalsRowLabel="Subtotal" totalsRowDxfId="683"/>
    <tableColumn id="2" name="COSTO PREVISTO" totalsRowFunction="sum" totalsRowDxfId="682"/>
    <tableColumn id="3" name="COSTO REAL" totalsRowFunction="sum" totalsRowDxfId="681"/>
    <tableColumn id="4" name="DIFERENCIA" totalsRowFunction="sum" totalsRowDxfId="680">
      <calculatedColumnFormula>Comida21455769[[#This Row],[COSTO PREVISTO]]-Comida21455769[[#This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omida en esta tabla. La diferencia se calcula automáticamente."/>
    </ext>
  </extLst>
</table>
</file>

<file path=xl/tables/table57.xml><?xml version="1.0" encoding="utf-8"?>
<table xmlns="http://schemas.openxmlformats.org/spreadsheetml/2006/main" id="69" name="Regalos22465870" displayName="Regalos22465870" ref="G48:J52" totalsRowCount="1" headerRowDxfId="679" dataDxfId="678" totalsRowDxfId="677">
  <autoFilter ref="G48:J51"/>
  <tableColumns count="4">
    <tableColumn id="1" name="CUIDADO DE NIÑOS" totalsRowLabel="Subtotal" totalsRowDxfId="676"/>
    <tableColumn id="2" name="COSTO PREVISTO" totalsRowFunction="sum" totalsRowDxfId="675"/>
    <tableColumn id="3" name="COSTO REAL " totalsRowLabel="0,00 €" totalsRowDxfId="674"/>
    <tableColumn id="4" name="DIFERENCIA" totalsRowFunction="sum" totalsRowDxfId="673">
      <calculatedColumnFormula>Regalos22465870[[#This Row],[COSTO PREVISTO]]-Regalos22465870[[#This Row],[COSTO REAL ]]</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regalos en esta tabla. La diferencia se calcula automáticamente."/>
    </ext>
  </extLst>
</table>
</file>

<file path=xl/tables/table58.xml><?xml version="1.0" encoding="utf-8"?>
<table xmlns="http://schemas.openxmlformats.org/spreadsheetml/2006/main" id="70" name="Mascotas23475971" displayName="Mascotas23475971" ref="B50:E56" totalsRowCount="1" headerRowDxfId="672" dataDxfId="671" totalsRowDxfId="670">
  <autoFilter ref="B50:E55"/>
  <tableColumns count="4">
    <tableColumn id="1" name="MASCOTAS" totalsRowLabel="Subtotal" totalsRowDxfId="669"/>
    <tableColumn id="2" name="COSTO PREVISTO" totalsRowFunction="sum" totalsRowDxfId="668"/>
    <tableColumn id="3" name="COSTO REAL" totalsRowFunction="sum" totalsRowDxfId="667"/>
    <tableColumn id="4" name="DIFERENCIA" totalsRowFunction="sum" totalsRowDxfId="666">
      <calculatedColumnFormula>Mascotas23475971[[#This Row],[COSTO PREVISTO]]-Mascotas23475971[[#This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mascotas en esta tabla. La diferencia se calcula automáticamente."/>
    </ext>
  </extLst>
</table>
</file>

<file path=xl/tables/table59.xml><?xml version="1.0" encoding="utf-8"?>
<table xmlns="http://schemas.openxmlformats.org/spreadsheetml/2006/main" id="71" name="Legal24486072" displayName="Legal24486072" ref="G54:J59" totalsRowCount="1" headerRowDxfId="665" dataDxfId="664" totalsRowDxfId="663">
  <autoFilter ref="G54:J58"/>
  <tableColumns count="4">
    <tableColumn id="1" name="LEGAL" totalsRowLabel="Subtotal" totalsRowDxfId="662"/>
    <tableColumn id="2" name="COSTO PREVISTO" totalsRowLabel="0,00 €" totalsRowDxfId="661"/>
    <tableColumn id="3" name="COSTO REAL" totalsRowLabel="0,00 €" totalsRowDxfId="660"/>
    <tableColumn id="4" name="DIFERENCIA" totalsRowFunction="sum" totalsRowDxfId="659">
      <calculatedColumnFormula>Legal24486072[[#This Row],[COSTO PREVISTO]]-Legal24486072[[#This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legal en esta tabla. La diferencia se calcula automáticamente."/>
    </ext>
  </extLst>
</table>
</file>

<file path=xl/tables/table60.xml><?xml version="1.0" encoding="utf-8"?>
<table xmlns="http://schemas.openxmlformats.org/spreadsheetml/2006/main" id="72" name="CuidadoPersonal25496173" displayName="CuidadoPersonal25496173" ref="B58:E66" totalsRowCount="1" headerRowDxfId="658" dataDxfId="657" totalsRowDxfId="656">
  <autoFilter ref="B58:E65"/>
  <tableColumns count="4">
    <tableColumn id="1" name="CUIDADO PERSONAL" totalsRowLabel="Subtotal" totalsRowDxfId="655"/>
    <tableColumn id="2" name="Costo previsto" totalsRowFunction="sum" totalsRowDxfId="654"/>
    <tableColumn id="3" name="Coste real" totalsRowFunction="sum" totalsRowDxfId="653"/>
    <tableColumn id="4" name="Diferencia" totalsRowFunction="sum" totalsRowDxfId="652">
      <calculatedColumnFormula>CuidadoPersonal25496173[[#This Row],[Costo previsto]]-CuidadoPersonal25496173[[#This Row],[Coste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uidado personal en esta tabla. La diferencia se calcula automáticamente."/>
    </ext>
  </extLst>
</table>
</file>

<file path=xl/tables/table61.xml><?xml version="1.0" encoding="utf-8"?>
<table xmlns="http://schemas.openxmlformats.org/spreadsheetml/2006/main" id="73" name="Alojamiento1438506274" displayName="Alojamiento1438506274" ref="B14:E25" totalsRowCount="1" headerRowDxfId="651" dataDxfId="650" totalsRowDxfId="649">
  <autoFilter ref="B14:E24"/>
  <tableColumns count="4">
    <tableColumn id="1" name="HOGAR Y VIVIENDA" totalsRowLabel="Subtotal" totalsRowDxfId="648"/>
    <tableColumn id="2" name="COSTO PREVISTO" totalsRowFunction="sum" totalsRowDxfId="647"/>
    <tableColumn id="3" name="COSTO REAL" totalsRowFunction="sum" totalsRowDxfId="646"/>
    <tableColumn id="4" name="DIFERENCIA" totalsRowFunction="sum" totalsRowDxfId="645">
      <calculatedColumnFormula>Alojamiento1438506274[[#This Row],[COSTO PREVISTO]]-Alojamiento1438506274[[#This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lojamiento en esta tabla. La diferencia se calcula automáticamente."/>
    </ext>
  </extLst>
</table>
</file>

<file path=xl/tables/table62.xml><?xml version="1.0" encoding="utf-8"?>
<table xmlns="http://schemas.openxmlformats.org/spreadsheetml/2006/main" id="74" name="Entretenimiento1539516375" displayName="Entretenimiento1539516375" ref="G14:J24" totalsRowCount="1" headerRowDxfId="644" dataDxfId="643" totalsRowDxfId="642">
  <autoFilter ref="G14:J23"/>
  <tableColumns count="4">
    <tableColumn id="1" name="ENTRETENIMIENTO" totalsRowLabel="Subtotal" totalsRowDxfId="641"/>
    <tableColumn id="2" name="COSTO PREVISTO" totalsRowLabel="0,00 €" totalsRowDxfId="640"/>
    <tableColumn id="3" name="COSTO REAL" totalsRowLabel="0,00 €" totalsRowDxfId="639"/>
    <tableColumn id="4" name="DIFERENCIA" totalsRowFunction="sum" totalsRowDxfId="638">
      <calculatedColumnFormula>Entretenimiento1539516375[[#This Row],[COSTO PREVISTO]]-Entretenimiento1539516375[[#This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entretenimiento en esta tabla. La diferencia se calcula automáticamente."/>
    </ext>
  </extLst>
</table>
</file>

<file path=xl/tables/table63.xml><?xml version="1.0" encoding="utf-8"?>
<table xmlns="http://schemas.openxmlformats.org/spreadsheetml/2006/main" id="75" name="Prestamos1640526476" displayName="Prestamos1640526476" ref="G26:J33" totalsRowCount="1" headerRowDxfId="637" dataDxfId="636" totalsRowDxfId="635">
  <autoFilter ref="G26:J32"/>
  <tableColumns count="4">
    <tableColumn id="1" name="PRÉSTAMOS" totalsRowLabel="Subtotal" dataDxfId="634" totalsRowDxfId="633"/>
    <tableColumn id="2" name="COSTO PREVISTO" totalsRowLabel="0,00 €" dataDxfId="632" totalsRowDxfId="631"/>
    <tableColumn id="3" name="COSTO REAL" totalsRowLabel="0,00 €" dataDxfId="630" totalsRowDxfId="629"/>
    <tableColumn id="4" name="DIFERENCIA" totalsRowFunction="sum" dataDxfId="628" totalsRowDxfId="627">
      <calculatedColumnFormula>Prestamos1640526476[[#This Row],[COSTO PREVISTO]]-Prestamos1640526476[[#This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préstamos en esta tabla. La diferencia se calcula automáticamente."/>
    </ext>
  </extLst>
</table>
</file>

<file path=xl/tables/table64.xml><?xml version="1.0" encoding="utf-8"?>
<table xmlns="http://schemas.openxmlformats.org/spreadsheetml/2006/main" id="76" name="Transporte1741536577" displayName="Transporte1741536577" ref="B27:E35" totalsRowCount="1" headerRowDxfId="626" dataDxfId="625" totalsRowDxfId="624">
  <autoFilter ref="B27:E34"/>
  <tableColumns count="4">
    <tableColumn id="1" name="TRANSPORTE" totalsRowLabel="Subtotal" totalsRowDxfId="623"/>
    <tableColumn id="2" name="Costo previsto" totalsRowFunction="sum" totalsRowDxfId="622"/>
    <tableColumn id="3" name="Costo real" totalsRowFunction="sum" totalsRowDxfId="621"/>
    <tableColumn id="4" name="Diferencia" totalsRowFunction="sum" totalsRowDxfId="620">
      <calculatedColumnFormula>Transporte1741536577[[#This Row],[Costo previsto]]-Transporte1741536577[[#This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transporte en esta tabla. La diferencia se calcula automáticamente."/>
    </ext>
  </extLst>
</table>
</file>

<file path=xl/tables/table65.xml><?xml version="1.0" encoding="utf-8"?>
<table xmlns="http://schemas.openxmlformats.org/spreadsheetml/2006/main" id="77" name="Seguro1842546678" displayName="Seguro1842546678" ref="B37:E42" totalsRowCount="1" headerRowDxfId="619" dataDxfId="618" totalsRowDxfId="617">
  <autoFilter ref="B37:E41"/>
  <tableColumns count="4">
    <tableColumn id="1" name="SEGURO" totalsRowLabel="Subtotal" totalsRowDxfId="616"/>
    <tableColumn id="2" name="COSTO PREVISTO" totalsRowFunction="sum" totalsRowDxfId="615"/>
    <tableColumn id="3" name="COSTO REAL" totalsRowFunction="sum" totalsRowDxfId="614"/>
    <tableColumn id="4" name="DIFERENCIA" totalsRowFunction="sum" totalsRowDxfId="613">
      <calculatedColumnFormula>Seguro1842546678[[#This Row],[COSTO PREVISTO]]-Seguro1842546678[[#This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seguro en esta tabla. La diferencia se calcula automáticamente."/>
    </ext>
  </extLst>
</table>
</file>

<file path=xl/tables/table66.xml><?xml version="1.0" encoding="utf-8"?>
<table xmlns="http://schemas.openxmlformats.org/spreadsheetml/2006/main" id="78" name="Impuestos1943556779" displayName="Impuestos1943556779" ref="G35:J40" totalsRowCount="1" headerRowDxfId="612" dataDxfId="611" totalsRowDxfId="610">
  <autoFilter ref="G35:J39"/>
  <tableColumns count="4">
    <tableColumn id="1" name="IMPUESTOS" totalsRowLabel="Subtotal" totalsRowDxfId="609"/>
    <tableColumn id="2" name="COSTO PREVISTO" totalsRowLabel="0,00 €" totalsRowDxfId="608"/>
    <tableColumn id="3" name="COSTO REAL" totalsRowLabel="0,00 €" totalsRowDxfId="607"/>
    <tableColumn id="4" name="DIFERENCIA" totalsRowFunction="sum" totalsRowDxfId="606">
      <calculatedColumnFormula>Impuestos1943556779[[#This Row],[COSTO PREVISTO]]-Impuestos1943556779[[#This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impuestos en esta tabla. La diferencia se calcula automáticamente."/>
    </ext>
  </extLst>
</table>
</file>

<file path=xl/tables/table67.xml><?xml version="1.0" encoding="utf-8"?>
<table xmlns="http://schemas.openxmlformats.org/spreadsheetml/2006/main" id="79" name="Ahorros2044566880" displayName="Ahorros2044566880" ref="G42:J46" totalsRowCount="1" headerRowDxfId="605" dataDxfId="604" totalsRowDxfId="603">
  <autoFilter ref="G42:J45"/>
  <tableColumns count="4">
    <tableColumn id="1" name="AHORROS O INVERSIONES" totalsRowLabel="Subtotal" totalsRowDxfId="602"/>
    <tableColumn id="2" name="COSTO PREVISTO" totalsRowLabel="0,00 €" totalsRowDxfId="601"/>
    <tableColumn id="3" name="COSTO REAL" totalsRowLabel="0,00 €" totalsRowDxfId="600"/>
    <tableColumn id="4" name="DIFERENCIA" totalsRowFunction="sum" totalsRowDxfId="599">
      <calculatedColumnFormula>Ahorros2044566880[[#This Row],[COSTO PREVISTO]]-Ahorros2044566880[[#This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horros en esta tabla. La diferencia se calcula automáticamente."/>
    </ext>
  </extLst>
</table>
</file>

<file path=xl/tables/table68.xml><?xml version="1.0" encoding="utf-8"?>
<table xmlns="http://schemas.openxmlformats.org/spreadsheetml/2006/main" id="80" name="Comida2145576981" displayName="Comida2145576981" ref="B44:E48" totalsRowCount="1" headerRowDxfId="598" dataDxfId="597" totalsRowDxfId="596">
  <autoFilter ref="B44:E47"/>
  <tableColumns count="4">
    <tableColumn id="1" name="COMIDA" totalsRowLabel="Subtotal" totalsRowDxfId="595"/>
    <tableColumn id="2" name="COSTO PREVISTO" totalsRowFunction="sum" totalsRowDxfId="594"/>
    <tableColumn id="3" name="COSTO REAL" totalsRowFunction="sum" totalsRowDxfId="593"/>
    <tableColumn id="4" name="DIFERENCIA" totalsRowFunction="sum" totalsRowDxfId="592">
      <calculatedColumnFormula>Comida2145576981[[#This Row],[COSTO PREVISTO]]-Comida2145576981[[#This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omida en esta tabla. La diferencia se calcula automáticamente."/>
    </ext>
  </extLst>
</table>
</file>

<file path=xl/tables/table69.xml><?xml version="1.0" encoding="utf-8"?>
<table xmlns="http://schemas.openxmlformats.org/spreadsheetml/2006/main" id="81" name="Regalos2246587082" displayName="Regalos2246587082" ref="G48:J52" totalsRowCount="1" headerRowDxfId="591" dataDxfId="590" totalsRowDxfId="589">
  <autoFilter ref="G48:J51"/>
  <tableColumns count="4">
    <tableColumn id="1" name="CUIDADO DE NIÑOS" totalsRowLabel="Subtotal" totalsRowDxfId="588"/>
    <tableColumn id="2" name="COSTO PREVISTO" totalsRowFunction="sum" totalsRowDxfId="587"/>
    <tableColumn id="3" name="COSTO REAL " totalsRowLabel="0,00 €" totalsRowDxfId="586"/>
    <tableColumn id="4" name="DIFERENCIA" totalsRowFunction="sum" totalsRowDxfId="585">
      <calculatedColumnFormula>Regalos2246587082[[#This Row],[COSTO PREVISTO]]-Regalos2246587082[[#This Row],[COSTO REAL ]]</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regalos en esta tabla. La diferencia se calcula automáticamente."/>
    </ext>
  </extLst>
</table>
</file>

<file path=xl/tables/table70.xml><?xml version="1.0" encoding="utf-8"?>
<table xmlns="http://schemas.openxmlformats.org/spreadsheetml/2006/main" id="82" name="Mascotas2347597183" displayName="Mascotas2347597183" ref="B50:E56" totalsRowCount="1" headerRowDxfId="584" dataDxfId="583" totalsRowDxfId="582">
  <autoFilter ref="B50:E55"/>
  <tableColumns count="4">
    <tableColumn id="1" name="MASCOTAS" totalsRowLabel="Subtotal" totalsRowDxfId="581"/>
    <tableColumn id="2" name="COSTO PREVISTO" totalsRowFunction="sum" totalsRowDxfId="580"/>
    <tableColumn id="3" name="COSTO REAL" totalsRowFunction="sum" totalsRowDxfId="579"/>
    <tableColumn id="4" name="DIFERENCIA" totalsRowFunction="sum" totalsRowDxfId="578">
      <calculatedColumnFormula>Mascotas2347597183[[#This Row],[COSTO PREVISTO]]-Mascotas2347597183[[#This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mascotas en esta tabla. La diferencia se calcula automáticamente."/>
    </ext>
  </extLst>
</table>
</file>

<file path=xl/tables/table71.xml><?xml version="1.0" encoding="utf-8"?>
<table xmlns="http://schemas.openxmlformats.org/spreadsheetml/2006/main" id="83" name="Legal2448607284" displayName="Legal2448607284" ref="G54:J59" totalsRowCount="1" headerRowDxfId="577" dataDxfId="576" totalsRowDxfId="575">
  <autoFilter ref="G54:J58"/>
  <tableColumns count="4">
    <tableColumn id="1" name="LEGAL" totalsRowLabel="Subtotal" totalsRowDxfId="574"/>
    <tableColumn id="2" name="COSTO PREVISTO" totalsRowLabel="0,00 €" totalsRowDxfId="573"/>
    <tableColumn id="3" name="COSTO REAL" totalsRowLabel="0,00 €" totalsRowDxfId="572"/>
    <tableColumn id="4" name="DIFERENCIA" totalsRowFunction="sum" totalsRowDxfId="571">
      <calculatedColumnFormula>Legal2448607284[[#This Row],[COSTO PREVISTO]]-Legal2448607284[[#This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legal en esta tabla. La diferencia se calcula automáticamente."/>
    </ext>
  </extLst>
</table>
</file>

<file path=xl/tables/table72.xml><?xml version="1.0" encoding="utf-8"?>
<table xmlns="http://schemas.openxmlformats.org/spreadsheetml/2006/main" id="84" name="CuidadoPersonal2549617385" displayName="CuidadoPersonal2549617385" ref="B58:E66" totalsRowCount="1" headerRowDxfId="570" dataDxfId="569" totalsRowDxfId="568">
  <autoFilter ref="B58:E65"/>
  <tableColumns count="4">
    <tableColumn id="1" name="CUIDADO PERSONAL" totalsRowLabel="Subtotal" totalsRowDxfId="567"/>
    <tableColumn id="2" name="Costo previsto" totalsRowFunction="sum" totalsRowDxfId="566"/>
    <tableColumn id="3" name="Coste real" totalsRowFunction="sum" totalsRowDxfId="565"/>
    <tableColumn id="4" name="Diferencia" totalsRowFunction="sum" totalsRowDxfId="564">
      <calculatedColumnFormula>CuidadoPersonal2549617385[[#This Row],[Costo previsto]]-CuidadoPersonal2549617385[[#This Row],[Coste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uidado personal en esta tabla. La diferencia se calcula automáticamente."/>
    </ext>
  </extLst>
</table>
</file>

<file path=xl/tables/table73.xml><?xml version="1.0" encoding="utf-8"?>
<table xmlns="http://schemas.openxmlformats.org/spreadsheetml/2006/main" id="85" name="Alojamiento143850627486" displayName="Alojamiento143850627486" ref="B14:E25" totalsRowCount="1" headerRowDxfId="563" dataDxfId="562" totalsRowDxfId="561">
  <autoFilter ref="B14:E24"/>
  <tableColumns count="4">
    <tableColumn id="1" name="HOGAR Y VIVIENDA" totalsRowLabel="Subtotal" totalsRowDxfId="560"/>
    <tableColumn id="2" name="COSTO PREVISTO" totalsRowFunction="sum" totalsRowDxfId="559"/>
    <tableColumn id="3" name="COSTO REAL" totalsRowFunction="sum" totalsRowDxfId="558"/>
    <tableColumn id="4" name="DIFERENCIA" totalsRowFunction="sum" totalsRowDxfId="557">
      <calculatedColumnFormula>Alojamiento143850627486[[#This Row],[COSTO PREVISTO]]-Alojamiento143850627486[[#This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lojamiento en esta tabla. La diferencia se calcula automáticamente."/>
    </ext>
  </extLst>
</table>
</file>

<file path=xl/tables/table74.xml><?xml version="1.0" encoding="utf-8"?>
<table xmlns="http://schemas.openxmlformats.org/spreadsheetml/2006/main" id="86" name="Entretenimiento153951637587" displayName="Entretenimiento153951637587" ref="G14:J24" totalsRowCount="1" headerRowDxfId="556" dataDxfId="555" totalsRowDxfId="554">
  <autoFilter ref="G14:J23"/>
  <tableColumns count="4">
    <tableColumn id="1" name="ENTRETENIMIENTO" totalsRowLabel="Subtotal" totalsRowDxfId="553"/>
    <tableColumn id="2" name="COSTO PREVISTO" totalsRowLabel="0,00 €" totalsRowDxfId="552"/>
    <tableColumn id="3" name="COSTO REAL" totalsRowLabel="0,00 €" totalsRowDxfId="551"/>
    <tableColumn id="4" name="DIFERENCIA" totalsRowFunction="sum" totalsRowDxfId="550">
      <calculatedColumnFormula>Entretenimiento153951637587[[#This Row],[COSTO PREVISTO]]-Entretenimiento153951637587[[#This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entretenimiento en esta tabla. La diferencia se calcula automáticamente."/>
    </ext>
  </extLst>
</table>
</file>

<file path=xl/tables/table75.xml><?xml version="1.0" encoding="utf-8"?>
<table xmlns="http://schemas.openxmlformats.org/spreadsheetml/2006/main" id="87" name="Prestamos164052647688" displayName="Prestamos164052647688" ref="G26:J33" totalsRowCount="1" headerRowDxfId="549" dataDxfId="548" totalsRowDxfId="547">
  <autoFilter ref="G26:J32"/>
  <tableColumns count="4">
    <tableColumn id="1" name="PRÉSTAMOS" totalsRowLabel="Subtotal" dataDxfId="546" totalsRowDxfId="545"/>
    <tableColumn id="2" name="COSTO PREVISTO" totalsRowLabel="0,00 €" dataDxfId="544" totalsRowDxfId="543"/>
    <tableColumn id="3" name="COSTO REAL" totalsRowLabel="0,00 €" dataDxfId="542" totalsRowDxfId="541"/>
    <tableColumn id="4" name="DIFERENCIA" totalsRowFunction="sum" dataDxfId="540" totalsRowDxfId="539">
      <calculatedColumnFormula>Prestamos164052647688[[#This Row],[COSTO PREVISTO]]-Prestamos164052647688[[#This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préstamos en esta tabla. La diferencia se calcula automáticamente."/>
    </ext>
  </extLst>
</table>
</file>

<file path=xl/tables/table76.xml><?xml version="1.0" encoding="utf-8"?>
<table xmlns="http://schemas.openxmlformats.org/spreadsheetml/2006/main" id="88" name="Transporte174153657789" displayName="Transporte174153657789" ref="B27:E35" totalsRowCount="1" headerRowDxfId="538" dataDxfId="537" totalsRowDxfId="536">
  <autoFilter ref="B27:E34"/>
  <tableColumns count="4">
    <tableColumn id="1" name="TRANSPORTE" totalsRowLabel="Subtotal" totalsRowDxfId="535"/>
    <tableColumn id="2" name="Costo previsto" totalsRowFunction="sum" totalsRowDxfId="534"/>
    <tableColumn id="3" name="Costo real" totalsRowFunction="sum" totalsRowDxfId="533"/>
    <tableColumn id="4" name="Diferencia" totalsRowFunction="sum" totalsRowDxfId="532">
      <calculatedColumnFormula>Transporte174153657789[[#This Row],[Costo previsto]]-Transporte174153657789[[#This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transporte en esta tabla. La diferencia se calcula automáticamente."/>
    </ext>
  </extLst>
</table>
</file>

<file path=xl/tables/table77.xml><?xml version="1.0" encoding="utf-8"?>
<table xmlns="http://schemas.openxmlformats.org/spreadsheetml/2006/main" id="89" name="Seguro184254667890" displayName="Seguro184254667890" ref="B37:E42" totalsRowCount="1" headerRowDxfId="531" dataDxfId="530" totalsRowDxfId="529">
  <autoFilter ref="B37:E41"/>
  <tableColumns count="4">
    <tableColumn id="1" name="SEGURO" totalsRowLabel="Subtotal" totalsRowDxfId="528"/>
    <tableColumn id="2" name="COSTO PREVISTO" totalsRowFunction="sum" totalsRowDxfId="527"/>
    <tableColumn id="3" name="COSTO REAL" totalsRowFunction="sum" totalsRowDxfId="526"/>
    <tableColumn id="4" name="DIFERENCIA" totalsRowFunction="sum" totalsRowDxfId="525">
      <calculatedColumnFormula>Seguro184254667890[[#This Row],[COSTO PREVISTO]]-Seguro184254667890[[#This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seguro en esta tabla. La diferencia se calcula automáticamente."/>
    </ext>
  </extLst>
</table>
</file>

<file path=xl/tables/table78.xml><?xml version="1.0" encoding="utf-8"?>
<table xmlns="http://schemas.openxmlformats.org/spreadsheetml/2006/main" id="90" name="Impuestos194355677991" displayName="Impuestos194355677991" ref="G35:J40" totalsRowCount="1" headerRowDxfId="524" dataDxfId="523" totalsRowDxfId="522">
  <autoFilter ref="G35:J39"/>
  <tableColumns count="4">
    <tableColumn id="1" name="IMPUESTOS" totalsRowLabel="Subtotal" totalsRowDxfId="521"/>
    <tableColumn id="2" name="COSTO PREVISTO" totalsRowLabel="0,00 €" totalsRowDxfId="520"/>
    <tableColumn id="3" name="COSTO REAL" totalsRowLabel="0,00 €" totalsRowDxfId="519"/>
    <tableColumn id="4" name="DIFERENCIA" totalsRowFunction="sum" totalsRowDxfId="518">
      <calculatedColumnFormula>Impuestos194355677991[[#This Row],[COSTO PREVISTO]]-Impuestos194355677991[[#This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impuestos en esta tabla. La diferencia se calcula automáticamente."/>
    </ext>
  </extLst>
</table>
</file>

<file path=xl/tables/table79.xml><?xml version="1.0" encoding="utf-8"?>
<table xmlns="http://schemas.openxmlformats.org/spreadsheetml/2006/main" id="91" name="Ahorros204456688092" displayName="Ahorros204456688092" ref="G42:J46" totalsRowCount="1" headerRowDxfId="517" dataDxfId="516" totalsRowDxfId="515">
  <autoFilter ref="G42:J45"/>
  <tableColumns count="4">
    <tableColumn id="1" name="AHORROS O INVERSIONES" totalsRowLabel="Subtotal" totalsRowDxfId="514"/>
    <tableColumn id="2" name="COSTO PREVISTO" totalsRowLabel="0,00 €" totalsRowDxfId="513"/>
    <tableColumn id="3" name="COSTO REAL" totalsRowLabel="0,00 €" totalsRowDxfId="512"/>
    <tableColumn id="4" name="DIFERENCIA" totalsRowFunction="sum" totalsRowDxfId="511">
      <calculatedColumnFormula>Ahorros204456688092[[#This Row],[COSTO PREVISTO]]-Ahorros204456688092[[#This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horros en esta tabla. La diferencia se calcula automáticamente."/>
    </ext>
  </extLst>
</table>
</file>

<file path=xl/tables/table80.xml><?xml version="1.0" encoding="utf-8"?>
<table xmlns="http://schemas.openxmlformats.org/spreadsheetml/2006/main" id="92" name="Comida214557698193" displayName="Comida214557698193" ref="B44:E48" totalsRowCount="1" headerRowDxfId="510" dataDxfId="509" totalsRowDxfId="508">
  <autoFilter ref="B44:E47"/>
  <tableColumns count="4">
    <tableColumn id="1" name="COMIDA" totalsRowLabel="Subtotal" totalsRowDxfId="507"/>
    <tableColumn id="2" name="COSTO PREVISTO" totalsRowFunction="sum" totalsRowDxfId="506"/>
    <tableColumn id="3" name="COSTO REAL" totalsRowFunction="sum" totalsRowDxfId="505"/>
    <tableColumn id="4" name="DIFERENCIA" totalsRowFunction="sum" totalsRowDxfId="504">
      <calculatedColumnFormula>Comida214557698193[[#This Row],[COSTO PREVISTO]]-Comida214557698193[[#This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omida en esta tabla. La diferencia se calcula automáticamente."/>
    </ext>
  </extLst>
</table>
</file>

<file path=xl/tables/table81.xml><?xml version="1.0" encoding="utf-8"?>
<table xmlns="http://schemas.openxmlformats.org/spreadsheetml/2006/main" id="93" name="Regalos224658708294" displayName="Regalos224658708294" ref="G48:J52" totalsRowCount="1" headerRowDxfId="503" dataDxfId="502" totalsRowDxfId="501">
  <autoFilter ref="G48:J51"/>
  <tableColumns count="4">
    <tableColumn id="1" name="CUIDADO DE NIÑOS" totalsRowLabel="Subtotal" totalsRowDxfId="500"/>
    <tableColumn id="2" name="COSTO PREVISTO" totalsRowFunction="sum" totalsRowDxfId="499"/>
    <tableColumn id="3" name="COSTO REAL " totalsRowLabel="0,00 €" totalsRowDxfId="498"/>
    <tableColumn id="4" name="DIFERENCIA" totalsRowFunction="sum" totalsRowDxfId="497">
      <calculatedColumnFormula>Regalos224658708294[[#This Row],[COSTO PREVISTO]]-Regalos224658708294[[#This Row],[COSTO REAL ]]</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regalos en esta tabla. La diferencia se calcula automáticamente."/>
    </ext>
  </extLst>
</table>
</file>

<file path=xl/tables/table82.xml><?xml version="1.0" encoding="utf-8"?>
<table xmlns="http://schemas.openxmlformats.org/spreadsheetml/2006/main" id="94" name="Mascotas234759718395" displayName="Mascotas234759718395" ref="B50:E56" totalsRowCount="1" headerRowDxfId="496" dataDxfId="495" totalsRowDxfId="494">
  <autoFilter ref="B50:E55"/>
  <tableColumns count="4">
    <tableColumn id="1" name="MASCOTAS" totalsRowLabel="Subtotal" totalsRowDxfId="493"/>
    <tableColumn id="2" name="COSTO PREVISTO" totalsRowFunction="sum" totalsRowDxfId="492"/>
    <tableColumn id="3" name="COSTO REAL" totalsRowFunction="sum" totalsRowDxfId="491"/>
    <tableColumn id="4" name="DIFERENCIA" totalsRowFunction="sum" totalsRowDxfId="490">
      <calculatedColumnFormula>Mascotas234759718395[[#This Row],[COSTO PREVISTO]]-Mascotas234759718395[[#This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mascotas en esta tabla. La diferencia se calcula automáticamente."/>
    </ext>
  </extLst>
</table>
</file>

<file path=xl/tables/table83.xml><?xml version="1.0" encoding="utf-8"?>
<table xmlns="http://schemas.openxmlformats.org/spreadsheetml/2006/main" id="95" name="Legal244860728496" displayName="Legal244860728496" ref="G54:J59" totalsRowCount="1" headerRowDxfId="489" dataDxfId="488" totalsRowDxfId="487">
  <autoFilter ref="G54:J58"/>
  <tableColumns count="4">
    <tableColumn id="1" name="LEGAL" totalsRowLabel="Subtotal" totalsRowDxfId="486"/>
    <tableColumn id="2" name="COSTO PREVISTO" totalsRowLabel="0,00 €" totalsRowDxfId="485"/>
    <tableColumn id="3" name="COSTO REAL" totalsRowLabel="0,00 €" totalsRowDxfId="484"/>
    <tableColumn id="4" name="DIFERENCIA" totalsRowFunction="sum" totalsRowDxfId="483">
      <calculatedColumnFormula>Legal244860728496[[#This Row],[COSTO PREVISTO]]-Legal244860728496[[#This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legal en esta tabla. La diferencia se calcula automáticamente."/>
    </ext>
  </extLst>
</table>
</file>

<file path=xl/tables/table84.xml><?xml version="1.0" encoding="utf-8"?>
<table xmlns="http://schemas.openxmlformats.org/spreadsheetml/2006/main" id="96" name="CuidadoPersonal254961738597" displayName="CuidadoPersonal254961738597" ref="B58:E66" totalsRowCount="1" headerRowDxfId="482" dataDxfId="481" totalsRowDxfId="480">
  <autoFilter ref="B58:E65"/>
  <tableColumns count="4">
    <tableColumn id="1" name="CUIDADO PERSONAL" totalsRowLabel="Subtotal" totalsRowDxfId="479"/>
    <tableColumn id="2" name="Costo previsto" totalsRowFunction="sum" totalsRowDxfId="478"/>
    <tableColumn id="3" name="Coste real" totalsRowFunction="sum" totalsRowDxfId="477"/>
    <tableColumn id="4" name="Diferencia" totalsRowFunction="sum" totalsRowDxfId="476">
      <calculatedColumnFormula>CuidadoPersonal254961738597[[#This Row],[Costo previsto]]-CuidadoPersonal254961738597[[#This Row],[Coste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uidado personal en esta tabla. La diferencia se calcula automáticamente."/>
    </ext>
  </extLst>
</table>
</file>

<file path=xl/tables/table85.xml><?xml version="1.0" encoding="utf-8"?>
<table xmlns="http://schemas.openxmlformats.org/spreadsheetml/2006/main" id="97" name="Alojamiento14385062748698" displayName="Alojamiento14385062748698" ref="B14:E25" totalsRowCount="1" headerRowDxfId="475" dataDxfId="474" totalsRowDxfId="473">
  <autoFilter ref="B14:E24"/>
  <tableColumns count="4">
    <tableColumn id="1" name="HOGAR Y VIVIENDA" totalsRowLabel="Subtotal" totalsRowDxfId="472"/>
    <tableColumn id="2" name="COSTO PREVISTO" totalsRowFunction="sum" totalsRowDxfId="471"/>
    <tableColumn id="3" name="COSTO REAL" totalsRowFunction="sum" totalsRowDxfId="470"/>
    <tableColumn id="4" name="DIFERENCIA" totalsRowFunction="sum" totalsRowDxfId="469">
      <calculatedColumnFormula>Alojamiento14385062748698[[#This Row],[COSTO PREVISTO]]-Alojamiento14385062748698[[#This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lojamiento en esta tabla. La diferencia se calcula automáticamente."/>
    </ext>
  </extLst>
</table>
</file>

<file path=xl/tables/table86.xml><?xml version="1.0" encoding="utf-8"?>
<table xmlns="http://schemas.openxmlformats.org/spreadsheetml/2006/main" id="98" name="Entretenimiento15395163758799" displayName="Entretenimiento15395163758799" ref="G14:J24" totalsRowCount="1" headerRowDxfId="468" dataDxfId="467" totalsRowDxfId="466">
  <autoFilter ref="G14:J23"/>
  <tableColumns count="4">
    <tableColumn id="1" name="ENTRETENIMIENTO" totalsRowLabel="Subtotal" totalsRowDxfId="465"/>
    <tableColumn id="2" name="COSTO PREVISTO" totalsRowLabel="0,00 €" totalsRowDxfId="464"/>
    <tableColumn id="3" name="COSTO REAL" totalsRowLabel="0,00 €" totalsRowDxfId="463"/>
    <tableColumn id="4" name="DIFERENCIA" totalsRowFunction="sum" totalsRowDxfId="462">
      <calculatedColumnFormula>Entretenimiento15395163758799[[#This Row],[COSTO PREVISTO]]-Entretenimiento15395163758799[[#This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entretenimiento en esta tabla. La diferencia se calcula automáticamente."/>
    </ext>
  </extLst>
</table>
</file>

<file path=xl/tables/table87.xml><?xml version="1.0" encoding="utf-8"?>
<table xmlns="http://schemas.openxmlformats.org/spreadsheetml/2006/main" id="99" name="Prestamos164052647688100" displayName="Prestamos164052647688100" ref="G26:J33" totalsRowCount="1" headerRowDxfId="461" dataDxfId="460" totalsRowDxfId="459">
  <autoFilter ref="G26:J32"/>
  <tableColumns count="4">
    <tableColumn id="1" name="PRÉSTAMOS" totalsRowLabel="Subtotal" dataDxfId="458" totalsRowDxfId="457"/>
    <tableColumn id="2" name="COSTO PREVISTO" totalsRowLabel="0,00 €" dataDxfId="456" totalsRowDxfId="455"/>
    <tableColumn id="3" name="COSTO REAL" totalsRowLabel="0,00 €" dataDxfId="454" totalsRowDxfId="453"/>
    <tableColumn id="4" name="DIFERENCIA" totalsRowFunction="sum" dataDxfId="452" totalsRowDxfId="451">
      <calculatedColumnFormula>Prestamos164052647688100[[#This Row],[COSTO PREVISTO]]-Prestamos164052647688100[[#This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préstamos en esta tabla. La diferencia se calcula automáticamente."/>
    </ext>
  </extLst>
</table>
</file>

<file path=xl/tables/table88.xml><?xml version="1.0" encoding="utf-8"?>
<table xmlns="http://schemas.openxmlformats.org/spreadsheetml/2006/main" id="100" name="Transporte174153657789101" displayName="Transporte174153657789101" ref="B27:E35" totalsRowCount="1" headerRowDxfId="450" dataDxfId="449" totalsRowDxfId="448">
  <autoFilter ref="B27:E34"/>
  <tableColumns count="4">
    <tableColumn id="1" name="TRANSPORTE" totalsRowLabel="Subtotal" totalsRowDxfId="447"/>
    <tableColumn id="2" name="Costo previsto" totalsRowFunction="sum" totalsRowDxfId="446"/>
    <tableColumn id="3" name="Costo real" totalsRowFunction="sum" totalsRowDxfId="445"/>
    <tableColumn id="4" name="Diferencia" totalsRowFunction="sum" totalsRowDxfId="444">
      <calculatedColumnFormula>Transporte174153657789101[[#This Row],[Costo previsto]]-Transporte174153657789101[[#This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transporte en esta tabla. La diferencia se calcula automáticamente."/>
    </ext>
  </extLst>
</table>
</file>

<file path=xl/tables/table89.xml><?xml version="1.0" encoding="utf-8"?>
<table xmlns="http://schemas.openxmlformats.org/spreadsheetml/2006/main" id="101" name="Seguro184254667890102" displayName="Seguro184254667890102" ref="B37:E42" totalsRowCount="1" headerRowDxfId="443" dataDxfId="442" totalsRowDxfId="441">
  <autoFilter ref="B37:E41"/>
  <tableColumns count="4">
    <tableColumn id="1" name="SEGURO" totalsRowLabel="Subtotal" totalsRowDxfId="440"/>
    <tableColumn id="2" name="COSTO PREVISTO" totalsRowFunction="sum" totalsRowDxfId="439"/>
    <tableColumn id="3" name="COSTO REAL" totalsRowFunction="sum" totalsRowDxfId="438"/>
    <tableColumn id="4" name="DIFERENCIA" totalsRowFunction="sum" totalsRowDxfId="437">
      <calculatedColumnFormula>Seguro184254667890102[[#This Row],[COSTO PREVISTO]]-Seguro184254667890102[[#This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seguro en esta tabla. La diferencia se calcula automáticamente."/>
    </ext>
  </extLst>
</table>
</file>

<file path=xl/tables/table90.xml><?xml version="1.0" encoding="utf-8"?>
<table xmlns="http://schemas.openxmlformats.org/spreadsheetml/2006/main" id="102" name="Impuestos194355677991103" displayName="Impuestos194355677991103" ref="G35:J40" totalsRowCount="1" headerRowDxfId="436" dataDxfId="435" totalsRowDxfId="434">
  <autoFilter ref="G35:J39"/>
  <tableColumns count="4">
    <tableColumn id="1" name="IMPUESTOS" totalsRowLabel="Subtotal" totalsRowDxfId="433"/>
    <tableColumn id="2" name="COSTO PREVISTO" totalsRowLabel="0,00 €" totalsRowDxfId="432"/>
    <tableColumn id="3" name="COSTO REAL" totalsRowLabel="0,00 €" totalsRowDxfId="431"/>
    <tableColumn id="4" name="DIFERENCIA" totalsRowFunction="sum" totalsRowDxfId="430">
      <calculatedColumnFormula>Impuestos194355677991103[[#This Row],[COSTO PREVISTO]]-Impuestos194355677991103[[#This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impuestos en esta tabla. La diferencia se calcula automáticamente."/>
    </ext>
  </extLst>
</table>
</file>

<file path=xl/tables/table91.xml><?xml version="1.0" encoding="utf-8"?>
<table xmlns="http://schemas.openxmlformats.org/spreadsheetml/2006/main" id="103" name="Ahorros204456688092104" displayName="Ahorros204456688092104" ref="G42:J46" totalsRowCount="1" headerRowDxfId="429" dataDxfId="428" totalsRowDxfId="427">
  <autoFilter ref="G42:J45"/>
  <tableColumns count="4">
    <tableColumn id="1" name="AHORROS O INVERSIONES" totalsRowLabel="Subtotal" totalsRowDxfId="426"/>
    <tableColumn id="2" name="COSTO PREVISTO" totalsRowLabel="0,00 €" totalsRowDxfId="425"/>
    <tableColumn id="3" name="COSTO REAL" totalsRowLabel="0,00 €" totalsRowDxfId="424"/>
    <tableColumn id="4" name="DIFERENCIA" totalsRowFunction="sum" totalsRowDxfId="423">
      <calculatedColumnFormula>Ahorros204456688092104[[#This Row],[COSTO PREVISTO]]-Ahorros204456688092104[[#This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horros en esta tabla. La diferencia se calcula automáticamente."/>
    </ext>
  </extLst>
</table>
</file>

<file path=xl/tables/table92.xml><?xml version="1.0" encoding="utf-8"?>
<table xmlns="http://schemas.openxmlformats.org/spreadsheetml/2006/main" id="104" name="Comida214557698193105" displayName="Comida214557698193105" ref="B44:E48" totalsRowCount="1" headerRowDxfId="422" dataDxfId="421" totalsRowDxfId="420">
  <autoFilter ref="B44:E47"/>
  <tableColumns count="4">
    <tableColumn id="1" name="COMIDA" totalsRowLabel="Subtotal" totalsRowDxfId="419"/>
    <tableColumn id="2" name="COSTO PREVISTO" totalsRowFunction="sum" totalsRowDxfId="418"/>
    <tableColumn id="3" name="COSTO REAL" totalsRowFunction="sum" totalsRowDxfId="417"/>
    <tableColumn id="4" name="DIFERENCIA" totalsRowFunction="sum" totalsRowDxfId="416">
      <calculatedColumnFormula>Comida214557698193105[[#This Row],[COSTO PREVISTO]]-Comida214557698193105[[#This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omida en esta tabla. La diferencia se calcula automáticamente."/>
    </ext>
  </extLst>
</table>
</file>

<file path=xl/tables/table93.xml><?xml version="1.0" encoding="utf-8"?>
<table xmlns="http://schemas.openxmlformats.org/spreadsheetml/2006/main" id="105" name="Regalos224658708294106" displayName="Regalos224658708294106" ref="G48:J52" totalsRowCount="1" headerRowDxfId="415" dataDxfId="414" totalsRowDxfId="413">
  <autoFilter ref="G48:J51"/>
  <tableColumns count="4">
    <tableColumn id="1" name="CUIDADO DE NIÑOS" totalsRowLabel="Subtotal" totalsRowDxfId="412"/>
    <tableColumn id="2" name="COSTO PREVISTO" totalsRowFunction="sum" totalsRowDxfId="411"/>
    <tableColumn id="3" name="COSTO REAL " totalsRowLabel="0,00 €" totalsRowDxfId="410"/>
    <tableColumn id="4" name="DIFERENCIA" totalsRowFunction="sum" totalsRowDxfId="409">
      <calculatedColumnFormula>Regalos224658708294106[[#This Row],[COSTO PREVISTO]]-Regalos224658708294106[[#This Row],[COSTO REAL ]]</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regalos en esta tabla. La diferencia se calcula automáticamente."/>
    </ext>
  </extLst>
</table>
</file>

<file path=xl/tables/table94.xml><?xml version="1.0" encoding="utf-8"?>
<table xmlns="http://schemas.openxmlformats.org/spreadsheetml/2006/main" id="106" name="Mascotas234759718395107" displayName="Mascotas234759718395107" ref="B50:E56" totalsRowCount="1" headerRowDxfId="408" dataDxfId="407" totalsRowDxfId="406">
  <autoFilter ref="B50:E55"/>
  <tableColumns count="4">
    <tableColumn id="1" name="MASCOTAS" totalsRowLabel="Subtotal" totalsRowDxfId="405"/>
    <tableColumn id="2" name="COSTO PREVISTO" totalsRowFunction="sum" totalsRowDxfId="404"/>
    <tableColumn id="3" name="COSTO REAL" totalsRowFunction="sum" totalsRowDxfId="403"/>
    <tableColumn id="4" name="DIFERENCIA" totalsRowFunction="sum" totalsRowDxfId="402">
      <calculatedColumnFormula>Mascotas234759718395107[[#This Row],[COSTO PREVISTO]]-Mascotas234759718395107[[#This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mascotas en esta tabla. La diferencia se calcula automáticamente."/>
    </ext>
  </extLst>
</table>
</file>

<file path=xl/tables/table95.xml><?xml version="1.0" encoding="utf-8"?>
<table xmlns="http://schemas.openxmlformats.org/spreadsheetml/2006/main" id="107" name="Legal244860728496108" displayName="Legal244860728496108" ref="G54:J59" totalsRowCount="1" headerRowDxfId="401" dataDxfId="400" totalsRowDxfId="399">
  <autoFilter ref="G54:J58"/>
  <tableColumns count="4">
    <tableColumn id="1" name="LEGAL" totalsRowLabel="Subtotal" totalsRowDxfId="398"/>
    <tableColumn id="2" name="COSTO PREVISTO" totalsRowLabel="0,00 €" totalsRowDxfId="397"/>
    <tableColumn id="3" name="COSTO REAL" totalsRowLabel="0,00 €" totalsRowDxfId="396"/>
    <tableColumn id="4" name="DIFERENCIA" totalsRowFunction="sum" totalsRowDxfId="395">
      <calculatedColumnFormula>Legal244860728496108[[#This Row],[COSTO PREVISTO]]-Legal244860728496108[[#This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legal en esta tabla. La diferencia se calcula automáticamente."/>
    </ext>
  </extLst>
</table>
</file>

<file path=xl/tables/table96.xml><?xml version="1.0" encoding="utf-8"?>
<table xmlns="http://schemas.openxmlformats.org/spreadsheetml/2006/main" id="108" name="CuidadoPersonal254961738597109" displayName="CuidadoPersonal254961738597109" ref="B58:E66" totalsRowCount="1" headerRowDxfId="394" dataDxfId="393" totalsRowDxfId="392">
  <autoFilter ref="B58:E65"/>
  <tableColumns count="4">
    <tableColumn id="1" name="CUIDADO PERSONAL" totalsRowLabel="Subtotal" totalsRowDxfId="391"/>
    <tableColumn id="2" name="Costo previsto" totalsRowFunction="sum" totalsRowDxfId="390"/>
    <tableColumn id="3" name="Coste real" totalsRowFunction="sum" totalsRowDxfId="389"/>
    <tableColumn id="4" name="Diferencia" totalsRowFunction="sum" totalsRowDxfId="388">
      <calculatedColumnFormula>CuidadoPersonal254961738597109[[#This Row],[Costo previsto]]-CuidadoPersonal254961738597109[[#This Row],[Coste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uidado personal en esta tabla. La diferencia se calcula automáticamente."/>
    </ext>
  </extLst>
</table>
</file>

<file path=xl/tables/table97.xml><?xml version="1.0" encoding="utf-8"?>
<table xmlns="http://schemas.openxmlformats.org/spreadsheetml/2006/main" id="109" name="Alojamiento14385062748698110" displayName="Alojamiento14385062748698110" ref="B14:E25" totalsRowCount="1" headerRowDxfId="387" dataDxfId="386" totalsRowDxfId="385">
  <autoFilter ref="B14:E24"/>
  <tableColumns count="4">
    <tableColumn id="1" name="HOGAR Y VIVIENDA" totalsRowLabel="Subtotal" totalsRowDxfId="384"/>
    <tableColumn id="2" name="COSTO PREVISTO" totalsRowFunction="sum" totalsRowDxfId="383"/>
    <tableColumn id="3" name="COSTO REAL" totalsRowFunction="sum" totalsRowDxfId="382"/>
    <tableColumn id="4" name="DIFERENCIA" totalsRowFunction="sum" totalsRowDxfId="381">
      <calculatedColumnFormula>Alojamiento14385062748698110[[#This Row],[COSTO PREVISTO]]-Alojamiento14385062748698110[[#This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lojamiento en esta tabla. La diferencia se calcula automáticamente."/>
    </ext>
  </extLst>
</table>
</file>

<file path=xl/tables/table98.xml><?xml version="1.0" encoding="utf-8"?>
<table xmlns="http://schemas.openxmlformats.org/spreadsheetml/2006/main" id="110" name="Entretenimiento15395163758799111" displayName="Entretenimiento15395163758799111" ref="G14:J24" totalsRowCount="1" headerRowDxfId="380" dataDxfId="379" totalsRowDxfId="378">
  <autoFilter ref="G14:J23"/>
  <tableColumns count="4">
    <tableColumn id="1" name="ENTRETENIMIENTO" totalsRowLabel="Subtotal" totalsRowDxfId="377"/>
    <tableColumn id="2" name="COSTO PREVISTO" totalsRowLabel="0,00 €" totalsRowDxfId="376"/>
    <tableColumn id="3" name="COSTO REAL" totalsRowLabel="0,00 €" totalsRowDxfId="375"/>
    <tableColumn id="4" name="DIFERENCIA" totalsRowFunction="sum" totalsRowDxfId="374">
      <calculatedColumnFormula>Entretenimiento15395163758799111[[#This Row],[COSTO PREVISTO]]-Entretenimiento15395163758799111[[#This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entretenimiento en esta tabla. La diferencia se calcula automáticamente."/>
    </ext>
  </extLst>
</table>
</file>

<file path=xl/tables/table99.xml><?xml version="1.0" encoding="utf-8"?>
<table xmlns="http://schemas.openxmlformats.org/spreadsheetml/2006/main" id="111" name="Prestamos164052647688100112" displayName="Prestamos164052647688100112" ref="G26:J33" totalsRowCount="1" headerRowDxfId="373" dataDxfId="372" totalsRowDxfId="371">
  <autoFilter ref="G26:J32"/>
  <tableColumns count="4">
    <tableColumn id="1" name="PRÉSTAMOS" totalsRowLabel="Subtotal" dataDxfId="370" totalsRowDxfId="369"/>
    <tableColumn id="2" name="COSTO PREVISTO" totalsRowLabel="0,00 €" dataDxfId="368" totalsRowDxfId="367"/>
    <tableColumn id="3" name="COSTO REAL" totalsRowLabel="0,00 €" dataDxfId="366" totalsRowDxfId="365"/>
    <tableColumn id="4" name="DIFERENCIA" totalsRowFunction="sum" dataDxfId="364" totalsRowDxfId="363">
      <calculatedColumnFormula>Prestamos164052647688100112[[#This Row],[COSTO PREVISTO]]-Prestamos164052647688100112[[#This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préstamos en esta tabla. La diferencia se calcula automáticamente."/>
    </ext>
  </extLst>
</table>
</file>

<file path=xl/tables/table100.xml><?xml version="1.0" encoding="utf-8"?>
<table xmlns="http://schemas.openxmlformats.org/spreadsheetml/2006/main" id="112" name="Transporte174153657789101113" displayName="Transporte174153657789101113" ref="B27:E35" totalsRowCount="1" headerRowDxfId="362" dataDxfId="361" totalsRowDxfId="360">
  <autoFilter ref="B27:E34"/>
  <tableColumns count="4">
    <tableColumn id="1" name="TRANSPORTE" totalsRowLabel="Subtotal" totalsRowDxfId="359"/>
    <tableColumn id="2" name="Costo previsto" totalsRowFunction="sum" totalsRowDxfId="358"/>
    <tableColumn id="3" name="Costo real" totalsRowFunction="sum" totalsRowDxfId="357"/>
    <tableColumn id="4" name="Diferencia" totalsRowFunction="sum" totalsRowDxfId="356">
      <calculatedColumnFormula>Transporte174153657789101113[[#This Row],[Costo previsto]]-Transporte174153657789101113[[#This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transporte en esta tabla. La diferencia se calcula automáticamente."/>
    </ext>
  </extLst>
</table>
</file>

<file path=xl/tables/table101.xml><?xml version="1.0" encoding="utf-8"?>
<table xmlns="http://schemas.openxmlformats.org/spreadsheetml/2006/main" id="113" name="Seguro184254667890102114" displayName="Seguro184254667890102114" ref="B37:E42" totalsRowCount="1" headerRowDxfId="355" dataDxfId="354" totalsRowDxfId="353">
  <autoFilter ref="B37:E41"/>
  <tableColumns count="4">
    <tableColumn id="1" name="SEGURO" totalsRowLabel="Subtotal" totalsRowDxfId="352"/>
    <tableColumn id="2" name="COSTO PREVISTO" totalsRowFunction="sum" totalsRowDxfId="351"/>
    <tableColumn id="3" name="COSTO REAL" totalsRowFunction="sum" totalsRowDxfId="350"/>
    <tableColumn id="4" name="DIFERENCIA" totalsRowFunction="sum" totalsRowDxfId="349">
      <calculatedColumnFormula>Seguro184254667890102114[[#This Row],[COSTO PREVISTO]]-Seguro184254667890102114[[#This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seguro en esta tabla. La diferencia se calcula automáticamente."/>
    </ext>
  </extLst>
</table>
</file>

<file path=xl/tables/table102.xml><?xml version="1.0" encoding="utf-8"?>
<table xmlns="http://schemas.openxmlformats.org/spreadsheetml/2006/main" id="114" name="Impuestos194355677991103115" displayName="Impuestos194355677991103115" ref="G35:J40" totalsRowCount="1" headerRowDxfId="348" dataDxfId="347" totalsRowDxfId="346">
  <autoFilter ref="G35:J39"/>
  <tableColumns count="4">
    <tableColumn id="1" name="IMPUESTOS" totalsRowLabel="Subtotal" totalsRowDxfId="345"/>
    <tableColumn id="2" name="COSTO PREVISTO" totalsRowLabel="0,00 €" totalsRowDxfId="344"/>
    <tableColumn id="3" name="COSTO REAL" totalsRowLabel="0,00 €" totalsRowDxfId="343"/>
    <tableColumn id="4" name="DIFERENCIA" totalsRowFunction="sum" totalsRowDxfId="342">
      <calculatedColumnFormula>Impuestos194355677991103115[[#This Row],[COSTO PREVISTO]]-Impuestos194355677991103115[[#This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impuestos en esta tabla. La diferencia se calcula automáticamente."/>
    </ext>
  </extLst>
</table>
</file>

<file path=xl/tables/table103.xml><?xml version="1.0" encoding="utf-8"?>
<table xmlns="http://schemas.openxmlformats.org/spreadsheetml/2006/main" id="115" name="Ahorros204456688092104116" displayName="Ahorros204456688092104116" ref="G42:J46" totalsRowCount="1" headerRowDxfId="341" dataDxfId="340" totalsRowDxfId="339">
  <autoFilter ref="G42:J45"/>
  <tableColumns count="4">
    <tableColumn id="1" name="AHORROS O INVERSIONES" totalsRowLabel="Subtotal" totalsRowDxfId="338"/>
    <tableColumn id="2" name="COSTO PREVISTO" totalsRowLabel="0,00 €" totalsRowDxfId="337"/>
    <tableColumn id="3" name="COSTO REAL" totalsRowLabel="0,00 €" totalsRowDxfId="336"/>
    <tableColumn id="4" name="DIFERENCIA" totalsRowFunction="sum" totalsRowDxfId="335">
      <calculatedColumnFormula>Ahorros204456688092104116[[#This Row],[COSTO PREVISTO]]-Ahorros204456688092104116[[#This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horros en esta tabla. La diferencia se calcula automáticamente."/>
    </ext>
  </extLst>
</table>
</file>

<file path=xl/tables/table104.xml><?xml version="1.0" encoding="utf-8"?>
<table xmlns="http://schemas.openxmlformats.org/spreadsheetml/2006/main" id="116" name="Comida214557698193105117" displayName="Comida214557698193105117" ref="B44:E48" totalsRowCount="1" headerRowDxfId="334" dataDxfId="333" totalsRowDxfId="332">
  <autoFilter ref="B44:E47"/>
  <tableColumns count="4">
    <tableColumn id="1" name="COMIDA" totalsRowLabel="Subtotal" totalsRowDxfId="331"/>
    <tableColumn id="2" name="COSTO PREVISTO" totalsRowFunction="sum" totalsRowDxfId="330"/>
    <tableColumn id="3" name="COSTO REAL" totalsRowFunction="sum" totalsRowDxfId="329"/>
    <tableColumn id="4" name="DIFERENCIA" totalsRowFunction="sum" totalsRowDxfId="328">
      <calculatedColumnFormula>Comida214557698193105117[[#This Row],[COSTO PREVISTO]]-Comida214557698193105117[[#This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omida en esta tabla. La diferencia se calcula automáticamente."/>
    </ext>
  </extLst>
</table>
</file>

<file path=xl/tables/table105.xml><?xml version="1.0" encoding="utf-8"?>
<table xmlns="http://schemas.openxmlformats.org/spreadsheetml/2006/main" id="117" name="Regalos224658708294106118" displayName="Regalos224658708294106118" ref="G48:J52" totalsRowCount="1" headerRowDxfId="327" dataDxfId="326" totalsRowDxfId="325">
  <autoFilter ref="G48:J51"/>
  <tableColumns count="4">
    <tableColumn id="1" name="CUIDADO DE NIÑOS" totalsRowLabel="Subtotal" totalsRowDxfId="324"/>
    <tableColumn id="2" name="COSTO PREVISTO" totalsRowFunction="sum" totalsRowDxfId="323"/>
    <tableColumn id="3" name="COSTO REAL " totalsRowLabel="0,00 €" totalsRowDxfId="322"/>
    <tableColumn id="4" name="DIFERENCIA" totalsRowFunction="sum" totalsRowDxfId="321">
      <calculatedColumnFormula>Regalos224658708294106118[[#This Row],[COSTO PREVISTO]]-Regalos224658708294106118[[#This Row],[COSTO REAL ]]</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regalos en esta tabla. La diferencia se calcula automáticamente."/>
    </ext>
  </extLst>
</table>
</file>

<file path=xl/tables/table106.xml><?xml version="1.0" encoding="utf-8"?>
<table xmlns="http://schemas.openxmlformats.org/spreadsheetml/2006/main" id="118" name="Mascotas234759718395107119" displayName="Mascotas234759718395107119" ref="B50:E56" totalsRowCount="1" headerRowDxfId="320" dataDxfId="319" totalsRowDxfId="318">
  <autoFilter ref="B50:E55"/>
  <tableColumns count="4">
    <tableColumn id="1" name="MASCOTAS" totalsRowLabel="Subtotal" totalsRowDxfId="317"/>
    <tableColumn id="2" name="COSTO PREVISTO" totalsRowFunction="sum" totalsRowDxfId="316"/>
    <tableColumn id="3" name="COSTO REAL" totalsRowFunction="sum" totalsRowDxfId="315"/>
    <tableColumn id="4" name="DIFERENCIA" totalsRowFunction="sum" totalsRowDxfId="314">
      <calculatedColumnFormula>Mascotas234759718395107119[[#This Row],[COSTO PREVISTO]]-Mascotas234759718395107119[[#This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mascotas en esta tabla. La diferencia se calcula automáticamente."/>
    </ext>
  </extLst>
</table>
</file>

<file path=xl/tables/table107.xml><?xml version="1.0" encoding="utf-8"?>
<table xmlns="http://schemas.openxmlformats.org/spreadsheetml/2006/main" id="119" name="Legal244860728496108120" displayName="Legal244860728496108120" ref="G54:J59" totalsRowCount="1" headerRowDxfId="313" dataDxfId="312" totalsRowDxfId="311">
  <autoFilter ref="G54:J58"/>
  <tableColumns count="4">
    <tableColumn id="1" name="LEGAL" totalsRowLabel="Subtotal" totalsRowDxfId="310"/>
    <tableColumn id="2" name="COSTO PREVISTO" totalsRowLabel="0,00 €" totalsRowDxfId="309"/>
    <tableColumn id="3" name="COSTO REAL" totalsRowLabel="0,00 €" totalsRowDxfId="308"/>
    <tableColumn id="4" name="DIFERENCIA" totalsRowFunction="sum" totalsRowDxfId="307">
      <calculatedColumnFormula>Legal244860728496108120[[#This Row],[COSTO PREVISTO]]-Legal244860728496108120[[#This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legal en esta tabla. La diferencia se calcula automáticamente."/>
    </ext>
  </extLst>
</table>
</file>

<file path=xl/tables/table108.xml><?xml version="1.0" encoding="utf-8"?>
<table xmlns="http://schemas.openxmlformats.org/spreadsheetml/2006/main" id="120" name="CuidadoPersonal254961738597109121" displayName="CuidadoPersonal254961738597109121" ref="B58:E66" totalsRowCount="1" headerRowDxfId="306" dataDxfId="305" totalsRowDxfId="304">
  <autoFilter ref="B58:E65"/>
  <tableColumns count="4">
    <tableColumn id="1" name="CUIDADO PERSONAL" totalsRowLabel="Subtotal" totalsRowDxfId="303"/>
    <tableColumn id="2" name="Costo previsto" totalsRowFunction="sum" totalsRowDxfId="302"/>
    <tableColumn id="3" name="Coste real" totalsRowFunction="sum" totalsRowDxfId="301"/>
    <tableColumn id="4" name="Diferencia" totalsRowFunction="sum" totalsRowDxfId="300">
      <calculatedColumnFormula>CuidadoPersonal254961738597109121[[#This Row],[Costo previsto]]-CuidadoPersonal254961738597109121[[#This Row],[Coste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uidado personal en esta tabla. La diferencia se calcula automáticamente."/>
    </ext>
  </extLst>
</table>
</file>

<file path=xl/tables/table109.xml><?xml version="1.0" encoding="utf-8"?>
<table xmlns="http://schemas.openxmlformats.org/spreadsheetml/2006/main" id="13" name="Alojamiento14" displayName="Alojamiento14" ref="B14:E25" totalsRowCount="1" headerRowDxfId="299" dataDxfId="298" totalsRowDxfId="297">
  <autoFilter ref="B14:E24"/>
  <tableColumns count="4">
    <tableColumn id="1" name="HOGAR Y VIVIENDA" totalsRowLabel="Subtotal" totalsRowDxfId="296"/>
    <tableColumn id="2" name="COSTO PREVISTO" totalsRowFunction="sum" totalsRowDxfId="295"/>
    <tableColumn id="3" name="COSTO REAL" totalsRowFunction="sum" totalsRowDxfId="294"/>
    <tableColumn id="4" name="DIFERENCIA" totalsRowFunction="sum" totalsRowDxfId="293">
      <calculatedColumnFormula>Alojamiento14[[#This Row],[COSTO PREVISTO]]-Alojamiento14[[#This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lojamiento en esta tabla. La diferencia se calcula automáticamente."/>
    </ext>
  </extLst>
</table>
</file>

<file path=xl/tables/table110.xml><?xml version="1.0" encoding="utf-8"?>
<table xmlns="http://schemas.openxmlformats.org/spreadsheetml/2006/main" id="14" name="Entretenimiento15" displayName="Entretenimiento15" ref="G14:J24" totalsRowCount="1" headerRowDxfId="292" dataDxfId="291" totalsRowDxfId="290">
  <autoFilter ref="G14:J23"/>
  <tableColumns count="4">
    <tableColumn id="1" name="ENTRETENIMIENTO" totalsRowLabel="Subtotal" totalsRowDxfId="289"/>
    <tableColumn id="2" name="COSTO PREVISTO" totalsRowLabel="0,00 €" totalsRowDxfId="288"/>
    <tableColumn id="3" name="COSTO REAL" totalsRowLabel="0,00 €" totalsRowDxfId="287"/>
    <tableColumn id="4" name="DIFERENCIA" totalsRowFunction="sum" totalsRowDxfId="286">
      <calculatedColumnFormula>Entretenimiento15[[#This Row],[COSTO PREVISTO]]-Entretenimiento15[[#This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entretenimiento en esta tabla. La diferencia se calcula automáticamente."/>
    </ext>
  </extLst>
</table>
</file>

<file path=xl/tables/table111.xml><?xml version="1.0" encoding="utf-8"?>
<table xmlns="http://schemas.openxmlformats.org/spreadsheetml/2006/main" id="15" name="Prestamos16" displayName="Prestamos16" ref="G26:J33" totalsRowCount="1" headerRowDxfId="285" dataDxfId="284" totalsRowDxfId="283">
  <autoFilter ref="G26:J32"/>
  <tableColumns count="4">
    <tableColumn id="1" name="PRÉSTAMOS" totalsRowLabel="Subtotal" dataDxfId="282" totalsRowDxfId="281"/>
    <tableColumn id="2" name="COSTO PREVISTO" totalsRowLabel="0,00 €" dataDxfId="280" totalsRowDxfId="279"/>
    <tableColumn id="3" name="COSTO REAL" totalsRowLabel="0,00 €" dataDxfId="278" totalsRowDxfId="277"/>
    <tableColumn id="4" name="DIFERENCIA" totalsRowFunction="sum" dataDxfId="276" totalsRowDxfId="275">
      <calculatedColumnFormula>Prestamos16[[#This Row],[COSTO PREVISTO]]-Prestamos16[[#This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préstamos en esta tabla. La diferencia se calcula automáticamente."/>
    </ext>
  </extLst>
</table>
</file>

<file path=xl/tables/table112.xml><?xml version="1.0" encoding="utf-8"?>
<table xmlns="http://schemas.openxmlformats.org/spreadsheetml/2006/main" id="16" name="Transporte17" displayName="Transporte17" ref="B27:E35" totalsRowCount="1" headerRowDxfId="274" dataDxfId="273" totalsRowDxfId="272">
  <autoFilter ref="B27:E34"/>
  <tableColumns count="4">
    <tableColumn id="1" name="TRANSPORTE" totalsRowLabel="Subtotal" totalsRowDxfId="271"/>
    <tableColumn id="2" name="Costo previsto" totalsRowFunction="sum" totalsRowDxfId="270"/>
    <tableColumn id="3" name="Costo real" totalsRowFunction="sum" totalsRowDxfId="269"/>
    <tableColumn id="4" name="Diferencia" totalsRowFunction="sum" totalsRowDxfId="268">
      <calculatedColumnFormula>Transporte17[[#This Row],[Costo previsto]]-Transporte17[[#This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transporte en esta tabla. La diferencia se calcula automáticamente."/>
    </ext>
  </extLst>
</table>
</file>

<file path=xl/tables/table113.xml><?xml version="1.0" encoding="utf-8"?>
<table xmlns="http://schemas.openxmlformats.org/spreadsheetml/2006/main" id="17" name="Seguro18" displayName="Seguro18" ref="B37:E42" totalsRowCount="1" headerRowDxfId="267" dataDxfId="266" totalsRowDxfId="265">
  <autoFilter ref="B37:E41"/>
  <tableColumns count="4">
    <tableColumn id="1" name="SEGURO" totalsRowLabel="Subtotal" totalsRowDxfId="264"/>
    <tableColumn id="2" name="COSTO PREVISTO" totalsRowFunction="sum" totalsRowDxfId="263"/>
    <tableColumn id="3" name="COSTO REAL" totalsRowFunction="sum" totalsRowDxfId="262"/>
    <tableColumn id="4" name="DIFERENCIA" totalsRowFunction="sum" totalsRowDxfId="261">
      <calculatedColumnFormula>Seguro18[[#This Row],[COSTO PREVISTO]]-Seguro18[[#This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seguro en esta tabla. La diferencia se calcula automáticamente."/>
    </ext>
  </extLst>
</table>
</file>

<file path=xl/tables/table114.xml><?xml version="1.0" encoding="utf-8"?>
<table xmlns="http://schemas.openxmlformats.org/spreadsheetml/2006/main" id="18" name="Impuestos19" displayName="Impuestos19" ref="G35:J40" totalsRowCount="1" headerRowDxfId="260" dataDxfId="259" totalsRowDxfId="258">
  <autoFilter ref="G35:J39"/>
  <tableColumns count="4">
    <tableColumn id="1" name="IMPUESTOS" totalsRowLabel="Subtotal" totalsRowDxfId="257"/>
    <tableColumn id="2" name="COSTO PREVISTO" totalsRowLabel="0,00 €" totalsRowDxfId="256"/>
    <tableColumn id="3" name="COSTO REAL" totalsRowLabel="0,00 €" totalsRowDxfId="255"/>
    <tableColumn id="4" name="DIFERENCIA" totalsRowFunction="sum" totalsRowDxfId="254">
      <calculatedColumnFormula>Impuestos19[[#This Row],[COSTO PREVISTO]]-Impuestos19[[#This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impuestos en esta tabla. La diferencia se calcula automáticamente."/>
    </ext>
  </extLst>
</table>
</file>

<file path=xl/tables/table115.xml><?xml version="1.0" encoding="utf-8"?>
<table xmlns="http://schemas.openxmlformats.org/spreadsheetml/2006/main" id="19" name="Ahorros20" displayName="Ahorros20" ref="G42:J46" totalsRowCount="1" headerRowDxfId="253" dataDxfId="252" totalsRowDxfId="251">
  <autoFilter ref="G42:J45"/>
  <tableColumns count="4">
    <tableColumn id="1" name="AHORROS O INVERSIONES" totalsRowLabel="Subtotal" totalsRowDxfId="250"/>
    <tableColumn id="2" name="COSTO PREVISTO" totalsRowLabel="0,00 €" totalsRowDxfId="249"/>
    <tableColumn id="3" name="COSTO REAL" totalsRowLabel="0,00 €" totalsRowDxfId="248"/>
    <tableColumn id="4" name="DIFERENCIA" totalsRowFunction="sum" totalsRowDxfId="247">
      <calculatedColumnFormula>Ahorros20[[#This Row],[COSTO PREVISTO]]-Ahorros20[[#This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horros en esta tabla. La diferencia se calcula automáticamente."/>
    </ext>
  </extLst>
</table>
</file>

<file path=xl/tables/table116.xml><?xml version="1.0" encoding="utf-8"?>
<table xmlns="http://schemas.openxmlformats.org/spreadsheetml/2006/main" id="20" name="Comida21" displayName="Comida21" ref="B44:E48" totalsRowCount="1" headerRowDxfId="246" dataDxfId="245" totalsRowDxfId="244">
  <autoFilter ref="B44:E47"/>
  <tableColumns count="4">
    <tableColumn id="1" name="COMIDA" totalsRowLabel="Subtotal" totalsRowDxfId="243"/>
    <tableColumn id="2" name="COSTO PREVISTO" totalsRowFunction="sum" totalsRowDxfId="242"/>
    <tableColumn id="3" name="COSTO REAL" totalsRowFunction="sum" totalsRowDxfId="241"/>
    <tableColumn id="4" name="DIFERENCIA" totalsRowFunction="sum" totalsRowDxfId="240">
      <calculatedColumnFormula>Comida21[[#This Row],[COSTO PREVISTO]]-Comida21[[#This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omida en esta tabla. La diferencia se calcula automáticamente."/>
    </ext>
  </extLst>
</table>
</file>

<file path=xl/tables/table117.xml><?xml version="1.0" encoding="utf-8"?>
<table xmlns="http://schemas.openxmlformats.org/spreadsheetml/2006/main" id="21" name="Regalos22" displayName="Regalos22" ref="G48:J52" totalsRowCount="1" headerRowDxfId="239" dataDxfId="238" totalsRowDxfId="237">
  <autoFilter ref="G48:J51"/>
  <tableColumns count="4">
    <tableColumn id="1" name="CUIDADO DE NIÑOS" totalsRowLabel="Subtotal" totalsRowDxfId="236"/>
    <tableColumn id="2" name="COSTO PREVISTO" totalsRowFunction="sum" totalsRowDxfId="235"/>
    <tableColumn id="3" name="COSTO REAL " totalsRowLabel="0,00 €" totalsRowDxfId="234"/>
    <tableColumn id="4" name="DIFERENCIA" totalsRowFunction="sum" totalsRowDxfId="233">
      <calculatedColumnFormula>Regalos22[[#This Row],[COSTO PREVISTO]]-Regalos22[[#This Row],[COSTO REAL ]]</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regalos en esta tabla. La diferencia se calcula automáticamente."/>
    </ext>
  </extLst>
</table>
</file>

<file path=xl/tables/table118.xml><?xml version="1.0" encoding="utf-8"?>
<table xmlns="http://schemas.openxmlformats.org/spreadsheetml/2006/main" id="22" name="Mascotas23" displayName="Mascotas23" ref="B50:E56" totalsRowCount="1" headerRowDxfId="232" dataDxfId="231" totalsRowDxfId="230">
  <autoFilter ref="B50:E55"/>
  <tableColumns count="4">
    <tableColumn id="1" name="MASCOTAS" totalsRowLabel="Subtotal" totalsRowDxfId="229"/>
    <tableColumn id="2" name="COSTO PREVISTO" totalsRowFunction="sum" totalsRowDxfId="228"/>
    <tableColumn id="3" name="COSTO REAL" totalsRowFunction="sum" totalsRowDxfId="227"/>
    <tableColumn id="4" name="DIFERENCIA" totalsRowFunction="sum" totalsRowDxfId="226">
      <calculatedColumnFormula>Mascotas23[[#This Row],[COSTO PREVISTO]]-Mascotas23[[#This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mascotas en esta tabla. La diferencia se calcula automáticamente."/>
    </ext>
  </extLst>
</table>
</file>

<file path=xl/tables/table119.xml><?xml version="1.0" encoding="utf-8"?>
<table xmlns="http://schemas.openxmlformats.org/spreadsheetml/2006/main" id="23" name="Legal24" displayName="Legal24" ref="G54:J59" totalsRowCount="1" headerRowDxfId="225" dataDxfId="224" totalsRowDxfId="223">
  <autoFilter ref="G54:J58"/>
  <tableColumns count="4">
    <tableColumn id="1" name="LEGAL" totalsRowLabel="Subtotal" totalsRowDxfId="222"/>
    <tableColumn id="2" name="COSTO PREVISTO" totalsRowLabel="0,00 €" totalsRowDxfId="221"/>
    <tableColumn id="3" name="COSTO REAL" totalsRowLabel="0,00 €" totalsRowDxfId="220"/>
    <tableColumn id="4" name="DIFERENCIA" totalsRowFunction="sum" totalsRowDxfId="219">
      <calculatedColumnFormula>Legal24[[#This Row],[COSTO PREVISTO]]-Legal24[[#This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legal en esta tabla. La diferencia se calcula automáticamente."/>
    </ext>
  </extLst>
</table>
</file>

<file path=xl/tables/table120.xml><?xml version="1.0" encoding="utf-8"?>
<table xmlns="http://schemas.openxmlformats.org/spreadsheetml/2006/main" id="24" name="CuidadoPersonal25" displayName="CuidadoPersonal25" ref="B58:E66" totalsRowCount="1" headerRowDxfId="218" dataDxfId="217" totalsRowDxfId="216">
  <autoFilter ref="B58:E65"/>
  <tableColumns count="4">
    <tableColumn id="1" name="CUIDADO PERSONAL" totalsRowLabel="Subtotal" totalsRowDxfId="215"/>
    <tableColumn id="2" name="Costo previsto" totalsRowFunction="sum" totalsRowDxfId="214"/>
    <tableColumn id="3" name="Coste real" totalsRowFunction="sum" totalsRowDxfId="213"/>
    <tableColumn id="4" name="Diferencia" totalsRowFunction="sum" totalsRowDxfId="212">
      <calculatedColumnFormula>CuidadoPersonal25[[#This Row],[Costo previsto]]-CuidadoPersonal25[[#This Row],[Coste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uidado personal en esta tabla. La diferencia se calcula automáticamente."/>
    </ext>
  </extLst>
</table>
</file>

<file path=xl/tables/table121.xml><?xml version="1.0" encoding="utf-8"?>
<table xmlns="http://schemas.openxmlformats.org/spreadsheetml/2006/main" id="133" name="Alojamiento14385062748698110122134" displayName="Alojamiento14385062748698110122134" ref="B14:E25" totalsRowCount="1" headerRowDxfId="211" dataDxfId="210" totalsRowDxfId="209">
  <autoFilter ref="B14:E24"/>
  <tableColumns count="4">
    <tableColumn id="1" name="HOGAR Y VIVIENDA" totalsRowLabel="Subtotal" totalsRowDxfId="208"/>
    <tableColumn id="2" name="COSTO PREVISTO" totalsRowFunction="sum" totalsRowDxfId="207"/>
    <tableColumn id="3" name="COSTO REAL" totalsRowFunction="sum" totalsRowDxfId="206"/>
    <tableColumn id="4" name="DIFERENCIA" totalsRowFunction="sum" totalsRowDxfId="205">
      <calculatedColumnFormula>Alojamiento14385062748698110122134[[#This Row],[COSTO PREVISTO]]-Alojamiento14385062748698110122134[[#This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lojamiento en esta tabla. La diferencia se calcula automáticamente."/>
    </ext>
  </extLst>
</table>
</file>

<file path=xl/tables/table122.xml><?xml version="1.0" encoding="utf-8"?>
<table xmlns="http://schemas.openxmlformats.org/spreadsheetml/2006/main" id="134" name="Entretenimiento15395163758799111123135" displayName="Entretenimiento15395163758799111123135" ref="G14:J24" totalsRowCount="1" headerRowDxfId="204" dataDxfId="203" totalsRowDxfId="202">
  <autoFilter ref="G14:J23"/>
  <tableColumns count="4">
    <tableColumn id="1" name="ENTRETENIMIENTO" totalsRowLabel="Subtotal" totalsRowDxfId="201"/>
    <tableColumn id="2" name="COSTO PREVISTO" totalsRowLabel="0,00 €" totalsRowDxfId="200"/>
    <tableColumn id="3" name="COSTO REAL" totalsRowLabel="0,00 €" totalsRowDxfId="199"/>
    <tableColumn id="4" name="DIFERENCIA" totalsRowFunction="sum" totalsRowDxfId="198">
      <calculatedColumnFormula>Entretenimiento15395163758799111123135[[#This Row],[COSTO PREVISTO]]-Entretenimiento15395163758799111123135[[#This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entretenimiento en esta tabla. La diferencia se calcula automáticamente."/>
    </ext>
  </extLst>
</table>
</file>

<file path=xl/tables/table123.xml><?xml version="1.0" encoding="utf-8"?>
<table xmlns="http://schemas.openxmlformats.org/spreadsheetml/2006/main" id="135" name="Prestamos164052647688100112124136" displayName="Prestamos164052647688100112124136" ref="G26:J33" totalsRowCount="1" headerRowDxfId="197" dataDxfId="196" totalsRowDxfId="195">
  <autoFilter ref="G26:J32"/>
  <tableColumns count="4">
    <tableColumn id="1" name="PRÉSTAMOS" totalsRowLabel="Subtotal" dataDxfId="194" totalsRowDxfId="193"/>
    <tableColumn id="2" name="COSTO PREVISTO" totalsRowLabel="0,00 €" dataDxfId="192" totalsRowDxfId="191"/>
    <tableColumn id="3" name="COSTO REAL" totalsRowLabel="0,00 €" dataDxfId="190" totalsRowDxfId="189"/>
    <tableColumn id="4" name="DIFERENCIA" totalsRowFunction="sum" dataDxfId="188" totalsRowDxfId="187">
      <calculatedColumnFormula>Prestamos164052647688100112124136[[#This Row],[COSTO PREVISTO]]-Prestamos164052647688100112124136[[#This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préstamos en esta tabla. La diferencia se calcula automáticamente."/>
    </ext>
  </extLst>
</table>
</file>

<file path=xl/tables/table124.xml><?xml version="1.0" encoding="utf-8"?>
<table xmlns="http://schemas.openxmlformats.org/spreadsheetml/2006/main" id="136" name="Transporte174153657789101113125137" displayName="Transporte174153657789101113125137" ref="B27:E35" totalsRowCount="1" headerRowDxfId="186" dataDxfId="185" totalsRowDxfId="184">
  <autoFilter ref="B27:E34"/>
  <tableColumns count="4">
    <tableColumn id="1" name="TRANSPORTE" totalsRowLabel="Subtotal" totalsRowDxfId="183"/>
    <tableColumn id="2" name="Costo previsto" totalsRowFunction="sum" totalsRowDxfId="182"/>
    <tableColumn id="3" name="Costo real" totalsRowFunction="sum" totalsRowDxfId="181"/>
    <tableColumn id="4" name="Diferencia" totalsRowFunction="sum" totalsRowDxfId="180">
      <calculatedColumnFormula>Transporte174153657789101113125137[[#This Row],[Costo previsto]]-Transporte174153657789101113125137[[#This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transporte en esta tabla. La diferencia se calcula automáticamente."/>
    </ext>
  </extLst>
</table>
</file>

<file path=xl/tables/table125.xml><?xml version="1.0" encoding="utf-8"?>
<table xmlns="http://schemas.openxmlformats.org/spreadsheetml/2006/main" id="137" name="Seguro184254667890102114126138" displayName="Seguro184254667890102114126138" ref="B37:E42" totalsRowCount="1" headerRowDxfId="179" dataDxfId="178" totalsRowDxfId="177">
  <autoFilter ref="B37:E41"/>
  <tableColumns count="4">
    <tableColumn id="1" name="SEGURO" totalsRowLabel="Subtotal" totalsRowDxfId="176"/>
    <tableColumn id="2" name="COSTO PREVISTO" totalsRowFunction="sum" totalsRowDxfId="175"/>
    <tableColumn id="3" name="COSTO REAL" totalsRowFunction="sum" totalsRowDxfId="174"/>
    <tableColumn id="4" name="DIFERENCIA" totalsRowFunction="sum" totalsRowDxfId="173">
      <calculatedColumnFormula>Seguro184254667890102114126138[[#This Row],[COSTO PREVISTO]]-Seguro184254667890102114126138[[#This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seguro en esta tabla. La diferencia se calcula automáticamente."/>
    </ext>
  </extLst>
</table>
</file>

<file path=xl/tables/table126.xml><?xml version="1.0" encoding="utf-8"?>
<table xmlns="http://schemas.openxmlformats.org/spreadsheetml/2006/main" id="138" name="Impuestos194355677991103115127139" displayName="Impuestos194355677991103115127139" ref="G35:J40" totalsRowCount="1" headerRowDxfId="172" dataDxfId="171" totalsRowDxfId="170">
  <autoFilter ref="G35:J39"/>
  <tableColumns count="4">
    <tableColumn id="1" name="IMPUESTOS" totalsRowLabel="Subtotal" totalsRowDxfId="169"/>
    <tableColumn id="2" name="COSTO PREVISTO" totalsRowLabel="0,00 €" totalsRowDxfId="168"/>
    <tableColumn id="3" name="COSTO REAL" totalsRowLabel="0,00 €" totalsRowDxfId="167"/>
    <tableColumn id="4" name="DIFERENCIA" totalsRowFunction="sum" totalsRowDxfId="166">
      <calculatedColumnFormula>Impuestos194355677991103115127139[[#This Row],[COSTO PREVISTO]]-Impuestos194355677991103115127139[[#This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impuestos en esta tabla. La diferencia se calcula automáticamente."/>
    </ext>
  </extLst>
</table>
</file>

<file path=xl/tables/table127.xml><?xml version="1.0" encoding="utf-8"?>
<table xmlns="http://schemas.openxmlformats.org/spreadsheetml/2006/main" id="139" name="Ahorros204456688092104116128140" displayName="Ahorros204456688092104116128140" ref="G42:J46" totalsRowCount="1" headerRowDxfId="165" dataDxfId="164" totalsRowDxfId="163">
  <autoFilter ref="G42:J45"/>
  <tableColumns count="4">
    <tableColumn id="1" name="AHORROS O INVERSIONES" totalsRowLabel="Subtotal" totalsRowDxfId="162"/>
    <tableColumn id="2" name="COSTO PREVISTO" totalsRowLabel="0,00 €" totalsRowDxfId="161"/>
    <tableColumn id="3" name="COSTO REAL" totalsRowLabel="0,00 €" totalsRowDxfId="160"/>
    <tableColumn id="4" name="DIFERENCIA" totalsRowFunction="sum" totalsRowDxfId="159">
      <calculatedColumnFormula>Ahorros204456688092104116128140[[#This Row],[COSTO PREVISTO]]-Ahorros204456688092104116128140[[#This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horros en esta tabla. La diferencia se calcula automáticamente."/>
    </ext>
  </extLst>
</table>
</file>

<file path=xl/tables/table128.xml><?xml version="1.0" encoding="utf-8"?>
<table xmlns="http://schemas.openxmlformats.org/spreadsheetml/2006/main" id="140" name="Comida214557698193105117129141" displayName="Comida214557698193105117129141" ref="B44:E48" totalsRowCount="1" headerRowDxfId="158" dataDxfId="157" totalsRowDxfId="156">
  <autoFilter ref="B44:E47"/>
  <tableColumns count="4">
    <tableColumn id="1" name="COMIDA" totalsRowLabel="Subtotal" totalsRowDxfId="155"/>
    <tableColumn id="2" name="COSTO PREVISTO" totalsRowFunction="sum" totalsRowDxfId="154"/>
    <tableColumn id="3" name="COSTO REAL" totalsRowFunction="sum" totalsRowDxfId="153"/>
    <tableColumn id="4" name="DIFERENCIA" totalsRowFunction="sum" totalsRowDxfId="152">
      <calculatedColumnFormula>Comida214557698193105117129141[[#This Row],[COSTO PREVISTO]]-Comida214557698193105117129141[[#This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omida en esta tabla. La diferencia se calcula automáticamente."/>
    </ext>
  </extLst>
</table>
</file>

<file path=xl/tables/table129.xml><?xml version="1.0" encoding="utf-8"?>
<table xmlns="http://schemas.openxmlformats.org/spreadsheetml/2006/main" id="141" name="Regalos224658708294106118130142" displayName="Regalos224658708294106118130142" ref="G48:J52" totalsRowCount="1" headerRowDxfId="151" dataDxfId="150" totalsRowDxfId="149">
  <autoFilter ref="G48:J51"/>
  <tableColumns count="4">
    <tableColumn id="1" name="CUIDADO DE NIÑOS" totalsRowLabel="Subtotal" totalsRowDxfId="148"/>
    <tableColumn id="2" name="COSTO PREVISTO" totalsRowFunction="sum" totalsRowDxfId="147"/>
    <tableColumn id="3" name="COSTO REAL " totalsRowLabel="0,00 €" totalsRowDxfId="146"/>
    <tableColumn id="4" name="DIFERENCIA" totalsRowFunction="sum" totalsRowDxfId="145">
      <calculatedColumnFormula>Regalos224658708294106118130142[[#This Row],[COSTO PREVISTO]]-Regalos224658708294106118130142[[#This Row],[COSTO REAL ]]</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regalos en esta tabla. La diferencia se calcula automáticamente."/>
    </ext>
  </extLst>
</table>
</file>

<file path=xl/tables/table130.xml><?xml version="1.0" encoding="utf-8"?>
<table xmlns="http://schemas.openxmlformats.org/spreadsheetml/2006/main" id="142" name="Mascotas234759718395107119131143" displayName="Mascotas234759718395107119131143" ref="B50:E56" totalsRowCount="1" headerRowDxfId="144" dataDxfId="143" totalsRowDxfId="142">
  <autoFilter ref="B50:E55"/>
  <tableColumns count="4">
    <tableColumn id="1" name="MASCOTAS" totalsRowLabel="Subtotal" totalsRowDxfId="141"/>
    <tableColumn id="2" name="COSTO PREVISTO" totalsRowFunction="sum" totalsRowDxfId="140"/>
    <tableColumn id="3" name="COSTO REAL" totalsRowFunction="sum" totalsRowDxfId="139"/>
    <tableColumn id="4" name="DIFERENCIA" totalsRowFunction="sum" totalsRowDxfId="138">
      <calculatedColumnFormula>Mascotas234759718395107119131143[[#This Row],[COSTO PREVISTO]]-Mascotas234759718395107119131143[[#This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mascotas en esta tabla. La diferencia se calcula automáticamente."/>
    </ext>
  </extLst>
</table>
</file>

<file path=xl/tables/table131.xml><?xml version="1.0" encoding="utf-8"?>
<table xmlns="http://schemas.openxmlformats.org/spreadsheetml/2006/main" id="143" name="Legal244860728496108120132144" displayName="Legal244860728496108120132144" ref="G54:J59" totalsRowCount="1" headerRowDxfId="137" dataDxfId="136" totalsRowDxfId="135">
  <autoFilter ref="G54:J58"/>
  <tableColumns count="4">
    <tableColumn id="1" name="LEGAL" totalsRowLabel="Subtotal" totalsRowDxfId="134"/>
    <tableColumn id="2" name="COSTO PREVISTO" totalsRowLabel="0,00 €" totalsRowDxfId="133"/>
    <tableColumn id="3" name="COSTO REAL" totalsRowLabel="0,00 €" totalsRowDxfId="132"/>
    <tableColumn id="4" name="DIFERENCIA" totalsRowFunction="sum" totalsRowDxfId="131">
      <calculatedColumnFormula>Legal244860728496108120132144[[#This Row],[COSTO PREVISTO]]-Legal244860728496108120132144[[#This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legal en esta tabla. La diferencia se calcula automáticamente."/>
    </ext>
  </extLst>
</table>
</file>

<file path=xl/tables/table132.xml><?xml version="1.0" encoding="utf-8"?>
<table xmlns="http://schemas.openxmlformats.org/spreadsheetml/2006/main" id="144" name="CuidadoPersonal254961738597109121133145" displayName="CuidadoPersonal254961738597109121133145" ref="B58:E66" totalsRowCount="1" headerRowDxfId="130" dataDxfId="129" totalsRowDxfId="128">
  <autoFilter ref="B58:E65"/>
  <tableColumns count="4">
    <tableColumn id="1" name="CUIDADO PERSONAL" totalsRowLabel="Subtotal" totalsRowDxfId="127"/>
    <tableColumn id="2" name="Costo previsto" totalsRowFunction="sum" totalsRowDxfId="126"/>
    <tableColumn id="3" name="Coste real" totalsRowFunction="sum" totalsRowDxfId="125"/>
    <tableColumn id="4" name="Diferencia" totalsRowFunction="sum" totalsRowDxfId="124">
      <calculatedColumnFormula>CuidadoPersonal254961738597109121133145[[#This Row],[Costo previsto]]-CuidadoPersonal254961738597109121133145[[#This Row],[Coste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uidado personal en esta tabla. La diferencia se calcula automáticamente."/>
    </ext>
  </extLst>
</table>
</file>

<file path=xl/tables/table133.xml><?xml version="1.0" encoding="utf-8"?>
<table xmlns="http://schemas.openxmlformats.org/spreadsheetml/2006/main" id="145" name="Alojamiento14385062748698110122134146" displayName="Alojamiento14385062748698110122134146" ref="B14:E25" totalsRowCount="1" headerRowDxfId="123" dataDxfId="122" totalsRowDxfId="121">
  <autoFilter ref="B14:E24"/>
  <tableColumns count="4">
    <tableColumn id="1" name="HOGAR Y VIVIENDA" totalsRowLabel="Subtotal" totalsRowDxfId="120"/>
    <tableColumn id="2" name="COSTO PREVISTO" totalsRowFunction="sum" totalsRowDxfId="119"/>
    <tableColumn id="3" name="COSTO REAL" totalsRowFunction="sum" totalsRowDxfId="118"/>
    <tableColumn id="4" name="DIFERENCIA" totalsRowFunction="sum" totalsRowDxfId="117">
      <calculatedColumnFormula>Alojamiento14385062748698110122134146[[#This Row],[COSTO PREVISTO]]-Alojamiento14385062748698110122134146[[#This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lojamiento en esta tabla. La diferencia se calcula automáticamente."/>
    </ext>
  </extLst>
</table>
</file>

<file path=xl/tables/table134.xml><?xml version="1.0" encoding="utf-8"?>
<table xmlns="http://schemas.openxmlformats.org/spreadsheetml/2006/main" id="146" name="Entretenimiento15395163758799111123135147" displayName="Entretenimiento15395163758799111123135147" ref="G14:J24" totalsRowCount="1" headerRowDxfId="116" dataDxfId="115" totalsRowDxfId="114">
  <autoFilter ref="G14:J23"/>
  <tableColumns count="4">
    <tableColumn id="1" name="ENTRETENIMIENTO" totalsRowLabel="Subtotal" totalsRowDxfId="113"/>
    <tableColumn id="2" name="COSTO PREVISTO" totalsRowLabel="0,00 €" totalsRowDxfId="112"/>
    <tableColumn id="3" name="COSTO REAL" totalsRowLabel="0,00 €" totalsRowDxfId="111"/>
    <tableColumn id="4" name="DIFERENCIA" totalsRowFunction="sum" totalsRowDxfId="110">
      <calculatedColumnFormula>Entretenimiento15395163758799111123135147[[#This Row],[COSTO PREVISTO]]-Entretenimiento15395163758799111123135147[[#This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entretenimiento en esta tabla. La diferencia se calcula automáticamente."/>
    </ext>
  </extLst>
</table>
</file>

<file path=xl/tables/table135.xml><?xml version="1.0" encoding="utf-8"?>
<table xmlns="http://schemas.openxmlformats.org/spreadsheetml/2006/main" id="147" name="Prestamos164052647688100112124136148" displayName="Prestamos164052647688100112124136148" ref="G26:J33" totalsRowCount="1" headerRowDxfId="109" dataDxfId="108" totalsRowDxfId="107">
  <autoFilter ref="G26:J32"/>
  <tableColumns count="4">
    <tableColumn id="1" name="PRÉSTAMOS" totalsRowLabel="Subtotal" dataDxfId="106" totalsRowDxfId="105"/>
    <tableColumn id="2" name="COSTO PREVISTO" totalsRowLabel="0,00 €" dataDxfId="104" totalsRowDxfId="103"/>
    <tableColumn id="3" name="COSTO REAL" totalsRowLabel="0,00 €" dataDxfId="102" totalsRowDxfId="101"/>
    <tableColumn id="4" name="DIFERENCIA" totalsRowFunction="sum" dataDxfId="100" totalsRowDxfId="99">
      <calculatedColumnFormula>Prestamos164052647688100112124136148[[#This Row],[COSTO PREVISTO]]-Prestamos164052647688100112124136148[[#This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préstamos en esta tabla. La diferencia se calcula automáticamente."/>
    </ext>
  </extLst>
</table>
</file>

<file path=xl/tables/table136.xml><?xml version="1.0" encoding="utf-8"?>
<table xmlns="http://schemas.openxmlformats.org/spreadsheetml/2006/main" id="148" name="Transporte174153657789101113125137149" displayName="Transporte174153657789101113125137149" ref="B27:E35" totalsRowCount="1" headerRowDxfId="98" dataDxfId="97" totalsRowDxfId="96">
  <autoFilter ref="B27:E34"/>
  <tableColumns count="4">
    <tableColumn id="1" name="TRANSPORTE" totalsRowLabel="Subtotal" totalsRowDxfId="95"/>
    <tableColumn id="2" name="Costo previsto" totalsRowFunction="sum" totalsRowDxfId="94"/>
    <tableColumn id="3" name="Costo real" totalsRowFunction="sum" totalsRowDxfId="93"/>
    <tableColumn id="4" name="Diferencia" totalsRowFunction="sum" totalsRowDxfId="92">
      <calculatedColumnFormula>Transporte174153657789101113125137149[[#This Row],[Costo previsto]]-Transporte174153657789101113125137149[[#This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transporte en esta tabla. La diferencia se calcula automáticamente."/>
    </ext>
  </extLst>
</table>
</file>

<file path=xl/tables/table137.xml><?xml version="1.0" encoding="utf-8"?>
<table xmlns="http://schemas.openxmlformats.org/spreadsheetml/2006/main" id="149" name="Seguro184254667890102114126138150" displayName="Seguro184254667890102114126138150" ref="B37:E42" totalsRowCount="1" headerRowDxfId="91" dataDxfId="90" totalsRowDxfId="89">
  <autoFilter ref="B37:E41"/>
  <tableColumns count="4">
    <tableColumn id="1" name="SEGURO" totalsRowLabel="Subtotal" totalsRowDxfId="88"/>
    <tableColumn id="2" name="COSTO PREVISTO" totalsRowFunction="sum" totalsRowDxfId="87"/>
    <tableColumn id="3" name="COSTO REAL" totalsRowFunction="sum" totalsRowDxfId="86"/>
    <tableColumn id="4" name="DIFERENCIA" totalsRowFunction="sum" totalsRowDxfId="85">
      <calculatedColumnFormula>Seguro184254667890102114126138150[[#This Row],[COSTO PREVISTO]]-Seguro184254667890102114126138150[[#This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seguro en esta tabla. La diferencia se calcula automáticamente."/>
    </ext>
  </extLst>
</table>
</file>

<file path=xl/tables/table138.xml><?xml version="1.0" encoding="utf-8"?>
<table xmlns="http://schemas.openxmlformats.org/spreadsheetml/2006/main" id="150" name="Impuestos194355677991103115127139151" displayName="Impuestos194355677991103115127139151" ref="G35:J40" totalsRowCount="1" headerRowDxfId="84" dataDxfId="83" totalsRowDxfId="82">
  <autoFilter ref="G35:J39"/>
  <tableColumns count="4">
    <tableColumn id="1" name="IMPUESTOS" totalsRowLabel="Subtotal" totalsRowDxfId="81"/>
    <tableColumn id="2" name="COSTO PREVISTO" totalsRowLabel="0,00 €" totalsRowDxfId="80"/>
    <tableColumn id="3" name="COSTO REAL" totalsRowLabel="0,00 €" totalsRowDxfId="79"/>
    <tableColumn id="4" name="DIFERENCIA" totalsRowFunction="sum" totalsRowDxfId="78">
      <calculatedColumnFormula>Impuestos194355677991103115127139151[[#This Row],[COSTO PREVISTO]]-Impuestos194355677991103115127139151[[#This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impuestos en esta tabla. La diferencia se calcula automáticamente."/>
    </ext>
  </extLst>
</table>
</file>

<file path=xl/tables/table139.xml><?xml version="1.0" encoding="utf-8"?>
<table xmlns="http://schemas.openxmlformats.org/spreadsheetml/2006/main" id="151" name="Ahorros204456688092104116128140152" displayName="Ahorros204456688092104116128140152" ref="G42:J46" totalsRowCount="1" headerRowDxfId="77" dataDxfId="76" totalsRowDxfId="75">
  <autoFilter ref="G42:J45"/>
  <tableColumns count="4">
    <tableColumn id="1" name="AHORROS O INVERSIONES" totalsRowLabel="Subtotal" totalsRowDxfId="74"/>
    <tableColumn id="2" name="COSTO PREVISTO" totalsRowLabel="0,00 €" totalsRowDxfId="73"/>
    <tableColumn id="3" name="COSTO REAL" totalsRowLabel="0,00 €" totalsRowDxfId="72"/>
    <tableColumn id="4" name="DIFERENCIA" totalsRowFunction="sum" totalsRowDxfId="71">
      <calculatedColumnFormula>Ahorros204456688092104116128140152[[#This Row],[COSTO PREVISTO]]-Ahorros204456688092104116128140152[[#This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ahorros en esta tabla. La diferencia se calcula automáticamente."/>
    </ext>
  </extLst>
</table>
</file>

<file path=xl/tables/table140.xml><?xml version="1.0" encoding="utf-8"?>
<table xmlns="http://schemas.openxmlformats.org/spreadsheetml/2006/main" id="152" name="Comida214557698193105117129141153" displayName="Comida214557698193105117129141153" ref="B44:E48" totalsRowCount="1" headerRowDxfId="70" dataDxfId="69" totalsRowDxfId="68">
  <autoFilter ref="B44:E47"/>
  <tableColumns count="4">
    <tableColumn id="1" name="COMIDA" totalsRowLabel="Subtotal" totalsRowDxfId="67"/>
    <tableColumn id="2" name="COSTO PREVISTO" totalsRowFunction="sum" totalsRowDxfId="66"/>
    <tableColumn id="3" name="COSTO REAL" totalsRowFunction="sum" totalsRowDxfId="65"/>
    <tableColumn id="4" name="DIFERENCIA" totalsRowFunction="sum" totalsRowDxfId="64">
      <calculatedColumnFormula>Comida214557698193105117129141153[[#This Row],[COSTO PREVISTO]]-Comida214557698193105117129141153[[#This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omida en esta tabla. La diferencia se calcula automáticamente."/>
    </ext>
  </extLst>
</table>
</file>

<file path=xl/tables/table141.xml><?xml version="1.0" encoding="utf-8"?>
<table xmlns="http://schemas.openxmlformats.org/spreadsheetml/2006/main" id="153" name="Regalos224658708294106118130142154" displayName="Regalos224658708294106118130142154" ref="G48:J52" totalsRowCount="1" headerRowDxfId="63" dataDxfId="62" totalsRowDxfId="61">
  <autoFilter ref="G48:J51"/>
  <tableColumns count="4">
    <tableColumn id="1" name="CUIDADO DE NIÑOS" totalsRowLabel="Subtotal" totalsRowDxfId="60"/>
    <tableColumn id="2" name="COSTO PREVISTO" totalsRowFunction="sum" totalsRowDxfId="59"/>
    <tableColumn id="3" name="COSTO REAL " totalsRowLabel="0,00 €" totalsRowDxfId="58"/>
    <tableColumn id="4" name="DIFERENCIA" totalsRowFunction="sum" totalsRowDxfId="57">
      <calculatedColumnFormula>Regalos224658708294106118130142154[[#This Row],[COSTO PREVISTO]]-Regalos224658708294106118130142154[[#This Row],[COSTO REAL ]]</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regalos en esta tabla. La diferencia se calcula automáticamente."/>
    </ext>
  </extLst>
</table>
</file>

<file path=xl/tables/table142.xml><?xml version="1.0" encoding="utf-8"?>
<table xmlns="http://schemas.openxmlformats.org/spreadsheetml/2006/main" id="154" name="Mascotas234759718395107119131143155" displayName="Mascotas234759718395107119131143155" ref="B50:E56" totalsRowCount="1" headerRowDxfId="56" dataDxfId="55" totalsRowDxfId="54">
  <autoFilter ref="B50:E55"/>
  <tableColumns count="4">
    <tableColumn id="1" name="MASCOTAS" totalsRowLabel="Subtotal" totalsRowDxfId="53"/>
    <tableColumn id="2" name="COSTO PREVISTO" totalsRowFunction="sum" totalsRowDxfId="52"/>
    <tableColumn id="3" name="COSTO REAL" totalsRowFunction="sum" totalsRowDxfId="51"/>
    <tableColumn id="4" name="DIFERENCIA" totalsRowFunction="sum" totalsRowDxfId="50">
      <calculatedColumnFormula>Mascotas234759718395107119131143155[[#This Row],[COSTO PREVISTO]]-Mascotas234759718395107119131143155[[#This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mascotas en esta tabla. La diferencia se calcula automáticamente."/>
    </ext>
  </extLst>
</table>
</file>

<file path=xl/tables/table143.xml><?xml version="1.0" encoding="utf-8"?>
<table xmlns="http://schemas.openxmlformats.org/spreadsheetml/2006/main" id="155" name="Legal244860728496108120132144156" displayName="Legal244860728496108120132144156" ref="G54:J59" totalsRowCount="1" headerRowDxfId="49" dataDxfId="48" totalsRowDxfId="47">
  <autoFilter ref="G54:J58"/>
  <tableColumns count="4">
    <tableColumn id="1" name="LEGAL" totalsRowLabel="Subtotal" totalsRowDxfId="46"/>
    <tableColumn id="2" name="COSTO PREVISTO" totalsRowLabel="0,00 €" totalsRowDxfId="45"/>
    <tableColumn id="3" name="COSTO REAL" totalsRowLabel="0,00 €" totalsRowDxfId="44"/>
    <tableColumn id="4" name="DIFERENCIA" totalsRowFunction="sum" totalsRowDxfId="43">
      <calculatedColumnFormula>Legal244860728496108120132144156[[#This Row],[COSTO PREVISTO]]-Legal244860728496108120132144156[[#This Row],[COSTO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legal en esta tabla. La diferencia se calcula automáticamente."/>
    </ext>
  </extLst>
</table>
</file>

<file path=xl/tables/table144.xml><?xml version="1.0" encoding="utf-8"?>
<table xmlns="http://schemas.openxmlformats.org/spreadsheetml/2006/main" id="156" name="CuidadoPersonal254961738597109121133145157" displayName="CuidadoPersonal254961738597109121133145157" ref="B58:E66" totalsRowCount="1" headerRowDxfId="42" dataDxfId="41" totalsRowDxfId="40">
  <autoFilter ref="B58:E65"/>
  <tableColumns count="4">
    <tableColumn id="1" name="CUIDADO PERSONAL" totalsRowLabel="Subtotal" totalsRowDxfId="39"/>
    <tableColumn id="2" name="Costo previsto" totalsRowFunction="sum" totalsRowDxfId="38"/>
    <tableColumn id="3" name="Coste real" totalsRowFunction="sum" totalsRowDxfId="37"/>
    <tableColumn id="4" name="Diferencia" totalsRowFunction="sum" totalsRowDxfId="36">
      <calculatedColumnFormula>CuidadoPersonal254961738597109121133145157[[#This Row],[Costo previsto]]-CuidadoPersonal254961738597109121133145157[[#This Row],[Coste real]]</calculatedColumnFormula>
    </tableColumn>
  </tableColumns>
  <tableStyleInfo name="Libreta de direcciones" showFirstColumn="1" showLastColumn="1" showRowStripes="1" showColumnStripes="0"/>
  <extLst>
    <ext xmlns:x14="http://schemas.microsoft.com/office/spreadsheetml/2009/9/main" uri="{504A1905-F514-4f6f-8877-14C23A59335A}">
      <x14:table altTextSummary="Escriba los gastos previstos y reales de cuidado personal en esta tabla. La diferencia se calcula automáticamente."/>
    </ext>
  </extLst>
</table>
</file>

<file path=xl/theme/theme1.xml><?xml version="1.0" encoding="utf-8"?>
<a:theme xmlns:a="http://schemas.openxmlformats.org/drawingml/2006/main" name="Personal">
  <a:themeElements>
    <a:clrScheme name="Rainbow">
      <a:dk1>
        <a:srgbClr val="000000"/>
      </a:dk1>
      <a:lt1>
        <a:srgbClr val="FFFFFF"/>
      </a:lt1>
      <a:dk2>
        <a:srgbClr val="7E8083"/>
      </a:dk2>
      <a:lt2>
        <a:srgbClr val="E4E5E6"/>
      </a:lt2>
      <a:accent1>
        <a:srgbClr val="7AC143"/>
      </a:accent1>
      <a:accent2>
        <a:srgbClr val="00853E"/>
      </a:accent2>
      <a:accent3>
        <a:srgbClr val="00ADEE"/>
      </a:accent3>
      <a:accent4>
        <a:srgbClr val="FFC000"/>
      </a:accent4>
      <a:accent5>
        <a:srgbClr val="F47920"/>
      </a:accent5>
      <a:accent6>
        <a:srgbClr val="E51937"/>
      </a:accent6>
      <a:hlink>
        <a:srgbClr val="F47920"/>
      </a:hlink>
      <a:folHlink>
        <a:srgbClr val="954F72"/>
      </a:folHlink>
    </a:clrScheme>
    <a:fontScheme name="Custom 2">
      <a:majorFont>
        <a:latin typeface="Rockwell"/>
        <a:ea typeface=""/>
        <a:cs typeface=""/>
      </a:majorFont>
      <a:minorFont>
        <a:latin typeface="Lucida San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0" Type="http://schemas.openxmlformats.org/officeDocument/2006/relationships/table" Target="../tables/table8.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s>
</file>

<file path=xl/worksheets/_rels/sheet3.xml.rels><?xml version="1.0" encoding="UTF-8" standalone="yes"?>
<Relationships xmlns="http://schemas.openxmlformats.org/package/2006/relationships"><Relationship Id="rId8" Type="http://schemas.openxmlformats.org/officeDocument/2006/relationships/table" Target="../tables/table18.xml"/><Relationship Id="rId13" Type="http://schemas.openxmlformats.org/officeDocument/2006/relationships/table" Target="../tables/table23.xml"/><Relationship Id="rId3" Type="http://schemas.openxmlformats.org/officeDocument/2006/relationships/table" Target="../tables/table13.xml"/><Relationship Id="rId7" Type="http://schemas.openxmlformats.org/officeDocument/2006/relationships/table" Target="../tables/table17.xml"/><Relationship Id="rId12" Type="http://schemas.openxmlformats.org/officeDocument/2006/relationships/table" Target="../tables/table22.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table" Target="../tables/table16.xml"/><Relationship Id="rId11" Type="http://schemas.openxmlformats.org/officeDocument/2006/relationships/table" Target="../tables/table21.xml"/><Relationship Id="rId5" Type="http://schemas.openxmlformats.org/officeDocument/2006/relationships/table" Target="../tables/table15.xml"/><Relationship Id="rId10" Type="http://schemas.openxmlformats.org/officeDocument/2006/relationships/table" Target="../tables/table20.xml"/><Relationship Id="rId4" Type="http://schemas.openxmlformats.org/officeDocument/2006/relationships/table" Target="../tables/table14.xml"/><Relationship Id="rId9" Type="http://schemas.openxmlformats.org/officeDocument/2006/relationships/table" Target="../tables/table19.xml"/><Relationship Id="rId14" Type="http://schemas.openxmlformats.org/officeDocument/2006/relationships/table" Target="../tables/table24.xml"/></Relationships>
</file>

<file path=xl/worksheets/_rels/sheet4.xml.rels><?xml version="1.0" encoding="UTF-8" standalone="yes"?>
<Relationships xmlns="http://schemas.openxmlformats.org/package/2006/relationships"><Relationship Id="rId8" Type="http://schemas.openxmlformats.org/officeDocument/2006/relationships/table" Target="../tables/table30.xml"/><Relationship Id="rId13" Type="http://schemas.openxmlformats.org/officeDocument/2006/relationships/table" Target="../tables/table35.xml"/><Relationship Id="rId3" Type="http://schemas.openxmlformats.org/officeDocument/2006/relationships/table" Target="../tables/table25.xml"/><Relationship Id="rId7" Type="http://schemas.openxmlformats.org/officeDocument/2006/relationships/table" Target="../tables/table29.xml"/><Relationship Id="rId12" Type="http://schemas.openxmlformats.org/officeDocument/2006/relationships/table" Target="../tables/table34.x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table" Target="../tables/table28.xml"/><Relationship Id="rId11" Type="http://schemas.openxmlformats.org/officeDocument/2006/relationships/table" Target="../tables/table33.xml"/><Relationship Id="rId5" Type="http://schemas.openxmlformats.org/officeDocument/2006/relationships/table" Target="../tables/table27.xml"/><Relationship Id="rId10" Type="http://schemas.openxmlformats.org/officeDocument/2006/relationships/table" Target="../tables/table32.xml"/><Relationship Id="rId4" Type="http://schemas.openxmlformats.org/officeDocument/2006/relationships/table" Target="../tables/table26.xml"/><Relationship Id="rId9" Type="http://schemas.openxmlformats.org/officeDocument/2006/relationships/table" Target="../tables/table31.xml"/><Relationship Id="rId14" Type="http://schemas.openxmlformats.org/officeDocument/2006/relationships/table" Target="../tables/table36.xml"/></Relationships>
</file>

<file path=xl/worksheets/_rels/sheet5.xml.rels><?xml version="1.0" encoding="UTF-8" standalone="yes"?>
<Relationships xmlns="http://schemas.openxmlformats.org/package/2006/relationships"><Relationship Id="rId8" Type="http://schemas.openxmlformats.org/officeDocument/2006/relationships/table" Target="../tables/table42.xml"/><Relationship Id="rId13" Type="http://schemas.openxmlformats.org/officeDocument/2006/relationships/table" Target="../tables/table47.xml"/><Relationship Id="rId3" Type="http://schemas.openxmlformats.org/officeDocument/2006/relationships/table" Target="../tables/table37.xml"/><Relationship Id="rId7" Type="http://schemas.openxmlformats.org/officeDocument/2006/relationships/table" Target="../tables/table41.xml"/><Relationship Id="rId12" Type="http://schemas.openxmlformats.org/officeDocument/2006/relationships/table" Target="../tables/table46.xml"/><Relationship Id="rId2" Type="http://schemas.openxmlformats.org/officeDocument/2006/relationships/drawing" Target="../drawings/drawing4.xml"/><Relationship Id="rId1" Type="http://schemas.openxmlformats.org/officeDocument/2006/relationships/printerSettings" Target="../printerSettings/printerSettings5.bin"/><Relationship Id="rId6" Type="http://schemas.openxmlformats.org/officeDocument/2006/relationships/table" Target="../tables/table40.xml"/><Relationship Id="rId11" Type="http://schemas.openxmlformats.org/officeDocument/2006/relationships/table" Target="../tables/table45.xml"/><Relationship Id="rId5" Type="http://schemas.openxmlformats.org/officeDocument/2006/relationships/table" Target="../tables/table39.xml"/><Relationship Id="rId10" Type="http://schemas.openxmlformats.org/officeDocument/2006/relationships/table" Target="../tables/table44.xml"/><Relationship Id="rId4" Type="http://schemas.openxmlformats.org/officeDocument/2006/relationships/table" Target="../tables/table38.xml"/><Relationship Id="rId9" Type="http://schemas.openxmlformats.org/officeDocument/2006/relationships/table" Target="../tables/table43.xml"/><Relationship Id="rId14" Type="http://schemas.openxmlformats.org/officeDocument/2006/relationships/table" Target="../tables/table48.xml"/></Relationships>
</file>

<file path=xl/worksheets/_rels/sheet6.xml.rels><?xml version="1.0" encoding="UTF-8" standalone="yes"?>
<Relationships xmlns="http://schemas.openxmlformats.org/package/2006/relationships"><Relationship Id="rId8" Type="http://schemas.openxmlformats.org/officeDocument/2006/relationships/table" Target="../tables/table54.xml"/><Relationship Id="rId13" Type="http://schemas.openxmlformats.org/officeDocument/2006/relationships/table" Target="../tables/table59.xml"/><Relationship Id="rId3" Type="http://schemas.openxmlformats.org/officeDocument/2006/relationships/table" Target="../tables/table49.xml"/><Relationship Id="rId7" Type="http://schemas.openxmlformats.org/officeDocument/2006/relationships/table" Target="../tables/table53.xml"/><Relationship Id="rId12" Type="http://schemas.openxmlformats.org/officeDocument/2006/relationships/table" Target="../tables/table58.xml"/><Relationship Id="rId2" Type="http://schemas.openxmlformats.org/officeDocument/2006/relationships/drawing" Target="../drawings/drawing5.xml"/><Relationship Id="rId1" Type="http://schemas.openxmlformats.org/officeDocument/2006/relationships/printerSettings" Target="../printerSettings/printerSettings6.bin"/><Relationship Id="rId6" Type="http://schemas.openxmlformats.org/officeDocument/2006/relationships/table" Target="../tables/table52.xml"/><Relationship Id="rId11" Type="http://schemas.openxmlformats.org/officeDocument/2006/relationships/table" Target="../tables/table57.xml"/><Relationship Id="rId5" Type="http://schemas.openxmlformats.org/officeDocument/2006/relationships/table" Target="../tables/table51.xml"/><Relationship Id="rId10" Type="http://schemas.openxmlformats.org/officeDocument/2006/relationships/table" Target="../tables/table56.xml"/><Relationship Id="rId4" Type="http://schemas.openxmlformats.org/officeDocument/2006/relationships/table" Target="../tables/table50.xml"/><Relationship Id="rId9" Type="http://schemas.openxmlformats.org/officeDocument/2006/relationships/table" Target="../tables/table55.xml"/><Relationship Id="rId14" Type="http://schemas.openxmlformats.org/officeDocument/2006/relationships/table" Target="../tables/table60.xml"/></Relationships>
</file>

<file path=xl/worksheets/_rels/sheet7.xml.rels><?xml version="1.0" encoding="UTF-8" standalone="yes"?>
<Relationships xmlns="http://schemas.openxmlformats.org/package/2006/relationships"><Relationship Id="rId8" Type="http://schemas.openxmlformats.org/officeDocument/2006/relationships/table" Target="../tables/table66.xml"/><Relationship Id="rId13" Type="http://schemas.openxmlformats.org/officeDocument/2006/relationships/table" Target="../tables/table71.xml"/><Relationship Id="rId3" Type="http://schemas.openxmlformats.org/officeDocument/2006/relationships/table" Target="../tables/table61.xml"/><Relationship Id="rId7" Type="http://schemas.openxmlformats.org/officeDocument/2006/relationships/table" Target="../tables/table65.xml"/><Relationship Id="rId12" Type="http://schemas.openxmlformats.org/officeDocument/2006/relationships/table" Target="../tables/table70.xml"/><Relationship Id="rId2" Type="http://schemas.openxmlformats.org/officeDocument/2006/relationships/drawing" Target="../drawings/drawing6.xml"/><Relationship Id="rId1" Type="http://schemas.openxmlformats.org/officeDocument/2006/relationships/printerSettings" Target="../printerSettings/printerSettings7.bin"/><Relationship Id="rId6" Type="http://schemas.openxmlformats.org/officeDocument/2006/relationships/table" Target="../tables/table64.xml"/><Relationship Id="rId11" Type="http://schemas.openxmlformats.org/officeDocument/2006/relationships/table" Target="../tables/table69.xml"/><Relationship Id="rId5" Type="http://schemas.openxmlformats.org/officeDocument/2006/relationships/table" Target="../tables/table63.xml"/><Relationship Id="rId10" Type="http://schemas.openxmlformats.org/officeDocument/2006/relationships/table" Target="../tables/table68.xml"/><Relationship Id="rId4" Type="http://schemas.openxmlformats.org/officeDocument/2006/relationships/table" Target="../tables/table62.xml"/><Relationship Id="rId9" Type="http://schemas.openxmlformats.org/officeDocument/2006/relationships/table" Target="../tables/table67.xml"/><Relationship Id="rId14" Type="http://schemas.openxmlformats.org/officeDocument/2006/relationships/table" Target="../tables/table72.xml"/></Relationships>
</file>

<file path=xl/worksheets/_rels/sheet8.xml.rels><?xml version="1.0" encoding="UTF-8" standalone="yes"?>
<Relationships xmlns="http://schemas.openxmlformats.org/package/2006/relationships"><Relationship Id="rId8" Type="http://schemas.openxmlformats.org/officeDocument/2006/relationships/table" Target="../tables/table78.xml"/><Relationship Id="rId13" Type="http://schemas.openxmlformats.org/officeDocument/2006/relationships/table" Target="../tables/table83.xml"/><Relationship Id="rId3" Type="http://schemas.openxmlformats.org/officeDocument/2006/relationships/table" Target="../tables/table73.xml"/><Relationship Id="rId7" Type="http://schemas.openxmlformats.org/officeDocument/2006/relationships/table" Target="../tables/table77.xml"/><Relationship Id="rId12" Type="http://schemas.openxmlformats.org/officeDocument/2006/relationships/table" Target="../tables/table82.xml"/><Relationship Id="rId2" Type="http://schemas.openxmlformats.org/officeDocument/2006/relationships/drawing" Target="../drawings/drawing7.xml"/><Relationship Id="rId1" Type="http://schemas.openxmlformats.org/officeDocument/2006/relationships/printerSettings" Target="../printerSettings/printerSettings8.bin"/><Relationship Id="rId6" Type="http://schemas.openxmlformats.org/officeDocument/2006/relationships/table" Target="../tables/table76.xml"/><Relationship Id="rId11" Type="http://schemas.openxmlformats.org/officeDocument/2006/relationships/table" Target="../tables/table81.xml"/><Relationship Id="rId5" Type="http://schemas.openxmlformats.org/officeDocument/2006/relationships/table" Target="../tables/table75.xml"/><Relationship Id="rId10" Type="http://schemas.openxmlformats.org/officeDocument/2006/relationships/table" Target="../tables/table80.xml"/><Relationship Id="rId4" Type="http://schemas.openxmlformats.org/officeDocument/2006/relationships/table" Target="../tables/table74.xml"/><Relationship Id="rId9" Type="http://schemas.openxmlformats.org/officeDocument/2006/relationships/table" Target="../tables/table79.xml"/><Relationship Id="rId14" Type="http://schemas.openxmlformats.org/officeDocument/2006/relationships/table" Target="../tables/table84.xml"/></Relationships>
</file>

<file path=xl/worksheets/_rels/sheet9.xml.rels><?xml version="1.0" encoding="UTF-8" standalone="yes"?>
<Relationships xmlns="http://schemas.openxmlformats.org/package/2006/relationships"><Relationship Id="rId8" Type="http://schemas.openxmlformats.org/officeDocument/2006/relationships/table" Target="../tables/table90.xml"/><Relationship Id="rId13" Type="http://schemas.openxmlformats.org/officeDocument/2006/relationships/table" Target="../tables/table95.xml"/><Relationship Id="rId3" Type="http://schemas.openxmlformats.org/officeDocument/2006/relationships/table" Target="../tables/table85.xml"/><Relationship Id="rId7" Type="http://schemas.openxmlformats.org/officeDocument/2006/relationships/table" Target="../tables/table89.xml"/><Relationship Id="rId12" Type="http://schemas.openxmlformats.org/officeDocument/2006/relationships/table" Target="../tables/table94.xml"/><Relationship Id="rId2" Type="http://schemas.openxmlformats.org/officeDocument/2006/relationships/drawing" Target="../drawings/drawing8.xml"/><Relationship Id="rId1" Type="http://schemas.openxmlformats.org/officeDocument/2006/relationships/printerSettings" Target="../printerSettings/printerSettings9.bin"/><Relationship Id="rId6" Type="http://schemas.openxmlformats.org/officeDocument/2006/relationships/table" Target="../tables/table88.xml"/><Relationship Id="rId11" Type="http://schemas.openxmlformats.org/officeDocument/2006/relationships/table" Target="../tables/table93.xml"/><Relationship Id="rId5" Type="http://schemas.openxmlformats.org/officeDocument/2006/relationships/table" Target="../tables/table87.xml"/><Relationship Id="rId10" Type="http://schemas.openxmlformats.org/officeDocument/2006/relationships/table" Target="../tables/table92.xml"/><Relationship Id="rId4" Type="http://schemas.openxmlformats.org/officeDocument/2006/relationships/table" Target="../tables/table86.xml"/><Relationship Id="rId9" Type="http://schemas.openxmlformats.org/officeDocument/2006/relationships/table" Target="../tables/table91.xml"/><Relationship Id="rId14" Type="http://schemas.openxmlformats.org/officeDocument/2006/relationships/table" Target="../tables/table96.xml"/></Relationships>
</file>

<file path=xl/worksheets/_rels/sheet10.xml.rels><?xml version="1.0" encoding="UTF-8" standalone="yes"?>
<Relationships xmlns="http://schemas.openxmlformats.org/package/2006/relationships"><Relationship Id="rId8" Type="http://schemas.openxmlformats.org/officeDocument/2006/relationships/table" Target="../tables/table102.xml"/><Relationship Id="rId13" Type="http://schemas.openxmlformats.org/officeDocument/2006/relationships/table" Target="../tables/table107.xml"/><Relationship Id="rId3" Type="http://schemas.openxmlformats.org/officeDocument/2006/relationships/table" Target="../tables/table97.xml"/><Relationship Id="rId7" Type="http://schemas.openxmlformats.org/officeDocument/2006/relationships/table" Target="../tables/table101.xml"/><Relationship Id="rId12" Type="http://schemas.openxmlformats.org/officeDocument/2006/relationships/table" Target="../tables/table106.xml"/><Relationship Id="rId2" Type="http://schemas.openxmlformats.org/officeDocument/2006/relationships/drawing" Target="../drawings/drawing9.xml"/><Relationship Id="rId1" Type="http://schemas.openxmlformats.org/officeDocument/2006/relationships/printerSettings" Target="../printerSettings/printerSettings10.bin"/><Relationship Id="rId6" Type="http://schemas.openxmlformats.org/officeDocument/2006/relationships/table" Target="../tables/table100.xml"/><Relationship Id="rId11" Type="http://schemas.openxmlformats.org/officeDocument/2006/relationships/table" Target="../tables/table105.xml"/><Relationship Id="rId5" Type="http://schemas.openxmlformats.org/officeDocument/2006/relationships/table" Target="../tables/table99.xml"/><Relationship Id="rId10" Type="http://schemas.openxmlformats.org/officeDocument/2006/relationships/table" Target="../tables/table104.xml"/><Relationship Id="rId4" Type="http://schemas.openxmlformats.org/officeDocument/2006/relationships/table" Target="../tables/table98.xml"/><Relationship Id="rId9" Type="http://schemas.openxmlformats.org/officeDocument/2006/relationships/table" Target="../tables/table103.xml"/><Relationship Id="rId14" Type="http://schemas.openxmlformats.org/officeDocument/2006/relationships/table" Target="../tables/table108.xml"/></Relationships>
</file>

<file path=xl/worksheets/_rels/sheet11.xml.rels><?xml version="1.0" encoding="UTF-8" standalone="yes"?>
<Relationships xmlns="http://schemas.openxmlformats.org/package/2006/relationships"><Relationship Id="rId8" Type="http://schemas.openxmlformats.org/officeDocument/2006/relationships/table" Target="../tables/table114.xml"/><Relationship Id="rId13" Type="http://schemas.openxmlformats.org/officeDocument/2006/relationships/table" Target="../tables/table119.xml"/><Relationship Id="rId3" Type="http://schemas.openxmlformats.org/officeDocument/2006/relationships/table" Target="../tables/table109.xml"/><Relationship Id="rId7" Type="http://schemas.openxmlformats.org/officeDocument/2006/relationships/table" Target="../tables/table113.xml"/><Relationship Id="rId12" Type="http://schemas.openxmlformats.org/officeDocument/2006/relationships/table" Target="../tables/table118.xml"/><Relationship Id="rId2" Type="http://schemas.openxmlformats.org/officeDocument/2006/relationships/drawing" Target="../drawings/drawing10.xml"/><Relationship Id="rId1" Type="http://schemas.openxmlformats.org/officeDocument/2006/relationships/printerSettings" Target="../printerSettings/printerSettings11.bin"/><Relationship Id="rId6" Type="http://schemas.openxmlformats.org/officeDocument/2006/relationships/table" Target="../tables/table112.xml"/><Relationship Id="rId11" Type="http://schemas.openxmlformats.org/officeDocument/2006/relationships/table" Target="../tables/table117.xml"/><Relationship Id="rId5" Type="http://schemas.openxmlformats.org/officeDocument/2006/relationships/table" Target="../tables/table111.xml"/><Relationship Id="rId10" Type="http://schemas.openxmlformats.org/officeDocument/2006/relationships/table" Target="../tables/table116.xml"/><Relationship Id="rId4" Type="http://schemas.openxmlformats.org/officeDocument/2006/relationships/table" Target="../tables/table110.xml"/><Relationship Id="rId9" Type="http://schemas.openxmlformats.org/officeDocument/2006/relationships/table" Target="../tables/table115.xml"/><Relationship Id="rId14" Type="http://schemas.openxmlformats.org/officeDocument/2006/relationships/table" Target="../tables/table120.xml"/></Relationships>
</file>

<file path=xl/worksheets/_rels/sheet12.xml.rels><?xml version="1.0" encoding="UTF-8" standalone="yes"?>
<Relationships xmlns="http://schemas.openxmlformats.org/package/2006/relationships"><Relationship Id="rId8" Type="http://schemas.openxmlformats.org/officeDocument/2006/relationships/table" Target="../tables/table126.xml"/><Relationship Id="rId13" Type="http://schemas.openxmlformats.org/officeDocument/2006/relationships/table" Target="../tables/table131.xml"/><Relationship Id="rId3" Type="http://schemas.openxmlformats.org/officeDocument/2006/relationships/table" Target="../tables/table121.xml"/><Relationship Id="rId7" Type="http://schemas.openxmlformats.org/officeDocument/2006/relationships/table" Target="../tables/table125.xml"/><Relationship Id="rId12" Type="http://schemas.openxmlformats.org/officeDocument/2006/relationships/table" Target="../tables/table130.xml"/><Relationship Id="rId2" Type="http://schemas.openxmlformats.org/officeDocument/2006/relationships/drawing" Target="../drawings/drawing11.xml"/><Relationship Id="rId1" Type="http://schemas.openxmlformats.org/officeDocument/2006/relationships/printerSettings" Target="../printerSettings/printerSettings12.bin"/><Relationship Id="rId6" Type="http://schemas.openxmlformats.org/officeDocument/2006/relationships/table" Target="../tables/table124.xml"/><Relationship Id="rId11" Type="http://schemas.openxmlformats.org/officeDocument/2006/relationships/table" Target="../tables/table129.xml"/><Relationship Id="rId5" Type="http://schemas.openxmlformats.org/officeDocument/2006/relationships/table" Target="../tables/table123.xml"/><Relationship Id="rId10" Type="http://schemas.openxmlformats.org/officeDocument/2006/relationships/table" Target="../tables/table128.xml"/><Relationship Id="rId4" Type="http://schemas.openxmlformats.org/officeDocument/2006/relationships/table" Target="../tables/table122.xml"/><Relationship Id="rId9" Type="http://schemas.openxmlformats.org/officeDocument/2006/relationships/table" Target="../tables/table127.xml"/><Relationship Id="rId14" Type="http://schemas.openxmlformats.org/officeDocument/2006/relationships/table" Target="../tables/table132.xml"/></Relationships>
</file>

<file path=xl/worksheets/_rels/sheet13.xml.rels><?xml version="1.0" encoding="UTF-8" standalone="yes"?>
<Relationships xmlns="http://schemas.openxmlformats.org/package/2006/relationships"><Relationship Id="rId8" Type="http://schemas.openxmlformats.org/officeDocument/2006/relationships/table" Target="../tables/table138.xml"/><Relationship Id="rId13" Type="http://schemas.openxmlformats.org/officeDocument/2006/relationships/table" Target="../tables/table143.xml"/><Relationship Id="rId3" Type="http://schemas.openxmlformats.org/officeDocument/2006/relationships/table" Target="../tables/table133.xml"/><Relationship Id="rId7" Type="http://schemas.openxmlformats.org/officeDocument/2006/relationships/table" Target="../tables/table137.xml"/><Relationship Id="rId12" Type="http://schemas.openxmlformats.org/officeDocument/2006/relationships/table" Target="../tables/table142.xml"/><Relationship Id="rId2" Type="http://schemas.openxmlformats.org/officeDocument/2006/relationships/drawing" Target="../drawings/drawing12.xml"/><Relationship Id="rId1" Type="http://schemas.openxmlformats.org/officeDocument/2006/relationships/printerSettings" Target="../printerSettings/printerSettings13.bin"/><Relationship Id="rId6" Type="http://schemas.openxmlformats.org/officeDocument/2006/relationships/table" Target="../tables/table136.xml"/><Relationship Id="rId11" Type="http://schemas.openxmlformats.org/officeDocument/2006/relationships/table" Target="../tables/table141.xml"/><Relationship Id="rId5" Type="http://schemas.openxmlformats.org/officeDocument/2006/relationships/table" Target="../tables/table135.xml"/><Relationship Id="rId10" Type="http://schemas.openxmlformats.org/officeDocument/2006/relationships/table" Target="../tables/table140.xml"/><Relationship Id="rId4" Type="http://schemas.openxmlformats.org/officeDocument/2006/relationships/table" Target="../tables/table134.xml"/><Relationship Id="rId9" Type="http://schemas.openxmlformats.org/officeDocument/2006/relationships/table" Target="../tables/table139.xml"/><Relationship Id="rId14" Type="http://schemas.openxmlformats.org/officeDocument/2006/relationships/table" Target="../tables/table14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B7"/>
  <sheetViews>
    <sheetView showGridLines="0" workbookViewId="0">
      <selection activeCell="B9" sqref="B9"/>
    </sheetView>
  </sheetViews>
  <sheetFormatPr baseColWidth="10" defaultColWidth="9" defaultRowHeight="12.75"/>
  <cols>
    <col min="1" max="1" width="5.25" style="29" customWidth="1"/>
    <col min="2" max="2" width="80.625" customWidth="1"/>
    <col min="3" max="3" width="2.625" customWidth="1"/>
  </cols>
  <sheetData>
    <row r="1" spans="1:2" s="5" customFormat="1" ht="30" customHeight="1">
      <c r="A1" s="28"/>
      <c r="B1" s="32" t="s">
        <v>100</v>
      </c>
    </row>
    <row r="2" spans="1:2" ht="52.5" customHeight="1">
      <c r="B2" s="33" t="s">
        <v>0</v>
      </c>
    </row>
    <row r="3" spans="1:2" ht="34.35" customHeight="1">
      <c r="B3" s="33" t="s">
        <v>1</v>
      </c>
    </row>
    <row r="4" spans="1:2" ht="32.25" customHeight="1">
      <c r="B4" s="33" t="s">
        <v>101</v>
      </c>
    </row>
    <row r="5" spans="1:2" ht="24" customHeight="1">
      <c r="B5" s="34" t="s">
        <v>102</v>
      </c>
    </row>
    <row r="6" spans="1:2" ht="76.5" customHeight="1">
      <c r="B6" s="31" t="s">
        <v>103</v>
      </c>
    </row>
    <row r="7" spans="1:2" ht="48.75" customHeight="1">
      <c r="B7" s="30"/>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O67"/>
  <sheetViews>
    <sheetView topLeftCell="A49" zoomScale="70" zoomScaleNormal="70" workbookViewId="0">
      <selection activeCell="G71" sqref="G71"/>
    </sheetView>
  </sheetViews>
  <sheetFormatPr baseColWidth="10" defaultColWidth="9" defaultRowHeight="12.75"/>
  <cols>
    <col min="1" max="1" width="2.625" style="4" customWidth="1"/>
    <col min="2" max="2" width="34.875" customWidth="1"/>
    <col min="3" max="3" width="20.875" customWidth="1"/>
    <col min="4" max="4" width="17.625" customWidth="1"/>
    <col min="5" max="5" width="16" customWidth="1"/>
    <col min="6" max="6" width="2.625" customWidth="1"/>
    <col min="7" max="7" width="34.875" customWidth="1"/>
    <col min="8" max="8" width="19.625" customWidth="1"/>
    <col min="9" max="9" width="16.25" customWidth="1"/>
    <col min="10" max="10" width="17.625" customWidth="1"/>
    <col min="11" max="11" width="2.625" customWidth="1"/>
  </cols>
  <sheetData>
    <row r="1" spans="1:15" s="1" customFormat="1" ht="14.25">
      <c r="A1" s="3" t="s">
        <v>2</v>
      </c>
    </row>
    <row r="2" spans="1:15" s="1" customFormat="1" ht="71.25" customHeight="1">
      <c r="A2" s="10" t="s">
        <v>3</v>
      </c>
      <c r="B2" s="12"/>
      <c r="C2" s="13"/>
      <c r="D2" s="14"/>
      <c r="E2" s="14"/>
      <c r="F2" s="14"/>
      <c r="G2" s="14"/>
      <c r="H2" s="14"/>
      <c r="I2" s="15"/>
      <c r="J2" s="15"/>
      <c r="K2" s="12"/>
    </row>
    <row r="3" spans="1:15">
      <c r="B3" s="16"/>
      <c r="C3" s="16"/>
      <c r="D3" s="16"/>
      <c r="E3" s="16"/>
      <c r="F3" s="16"/>
      <c r="G3" s="16"/>
      <c r="H3" s="16"/>
      <c r="I3" s="16"/>
      <c r="J3" s="16"/>
      <c r="K3" s="16"/>
    </row>
    <row r="4" spans="1:15" ht="24.95" customHeight="1">
      <c r="A4" s="4" t="s">
        <v>4</v>
      </c>
      <c r="B4" s="37" t="s">
        <v>67</v>
      </c>
      <c r="C4" s="39"/>
      <c r="D4" s="6"/>
      <c r="E4" s="35" t="s">
        <v>92</v>
      </c>
      <c r="F4" s="35"/>
      <c r="G4" s="35"/>
      <c r="H4" s="36">
        <f>C7-J61</f>
        <v>0</v>
      </c>
    </row>
    <row r="5" spans="1:15" ht="24.95" customHeight="1">
      <c r="B5" s="17" t="s">
        <v>116</v>
      </c>
      <c r="C5" s="18">
        <v>0</v>
      </c>
      <c r="E5" s="35"/>
      <c r="F5" s="35"/>
      <c r="G5" s="35"/>
      <c r="H5" s="36"/>
      <c r="I5" s="7"/>
    </row>
    <row r="6" spans="1:15" ht="24.95" customHeight="1">
      <c r="B6" s="17" t="s">
        <v>112</v>
      </c>
      <c r="C6" s="18">
        <v>0</v>
      </c>
      <c r="E6" s="35" t="s">
        <v>93</v>
      </c>
      <c r="F6" s="35"/>
      <c r="G6" s="35"/>
      <c r="H6" s="36">
        <f>C12-J63</f>
        <v>0</v>
      </c>
      <c r="I6" s="7"/>
    </row>
    <row r="7" spans="1:15" ht="24.95" customHeight="1">
      <c r="A7" s="4" t="s">
        <v>5</v>
      </c>
      <c r="B7" s="17" t="s">
        <v>70</v>
      </c>
      <c r="C7" s="20">
        <v>0</v>
      </c>
      <c r="E7" s="35"/>
      <c r="F7" s="35"/>
      <c r="G7" s="35"/>
      <c r="H7" s="36"/>
      <c r="I7" s="7"/>
    </row>
    <row r="8" spans="1:15" ht="24.95" customHeight="1">
      <c r="B8" s="2"/>
      <c r="C8" s="2"/>
      <c r="D8" s="2"/>
      <c r="E8" s="35" t="s">
        <v>94</v>
      </c>
      <c r="F8" s="35"/>
      <c r="G8" s="35"/>
      <c r="H8" s="36">
        <f>H6-H4</f>
        <v>0</v>
      </c>
      <c r="I8" s="7"/>
    </row>
    <row r="9" spans="1:15" ht="24.95" customHeight="1">
      <c r="A9" s="4" t="s">
        <v>6</v>
      </c>
      <c r="B9" s="37" t="s">
        <v>68</v>
      </c>
      <c r="C9" s="38"/>
      <c r="D9" s="6"/>
      <c r="E9" s="35"/>
      <c r="F9" s="35"/>
      <c r="G9" s="35"/>
      <c r="H9" s="36"/>
      <c r="I9" s="8"/>
    </row>
    <row r="10" spans="1:15" ht="24.95" customHeight="1">
      <c r="B10" s="17" t="s">
        <v>117</v>
      </c>
      <c r="C10" s="18">
        <v>0</v>
      </c>
      <c r="I10" s="7"/>
    </row>
    <row r="11" spans="1:15" ht="24.95" customHeight="1">
      <c r="B11" s="17" t="s">
        <v>118</v>
      </c>
      <c r="C11" s="18">
        <v>0</v>
      </c>
      <c r="E11" s="7"/>
      <c r="H11" s="11"/>
      <c r="I11" s="11"/>
    </row>
    <row r="12" spans="1:15" ht="24.95" customHeight="1">
      <c r="B12" s="19" t="s">
        <v>70</v>
      </c>
      <c r="C12" s="20">
        <v>0</v>
      </c>
    </row>
    <row r="14" spans="1:15" ht="24.95" customHeight="1">
      <c r="A14" s="4" t="s">
        <v>7</v>
      </c>
      <c r="B14" s="21" t="s">
        <v>74</v>
      </c>
      <c r="C14" s="21" t="s">
        <v>76</v>
      </c>
      <c r="D14" s="21" t="s">
        <v>75</v>
      </c>
      <c r="E14" s="21" t="s">
        <v>77</v>
      </c>
      <c r="F14" s="9"/>
      <c r="G14" s="21" t="s">
        <v>44</v>
      </c>
      <c r="H14" s="21" t="s">
        <v>76</v>
      </c>
      <c r="I14" s="21" t="s">
        <v>75</v>
      </c>
      <c r="J14" s="21" t="s">
        <v>77</v>
      </c>
      <c r="O14" s="22"/>
    </row>
    <row r="15" spans="1:15" ht="25.5" customHeight="1">
      <c r="B15" s="23" t="s">
        <v>78</v>
      </c>
      <c r="C15" s="24">
        <v>0</v>
      </c>
      <c r="D15" s="24">
        <v>0</v>
      </c>
      <c r="E15" s="24">
        <v>0</v>
      </c>
      <c r="F15" s="9"/>
      <c r="G15" s="23" t="s">
        <v>110</v>
      </c>
      <c r="H15" s="24">
        <v>0</v>
      </c>
      <c r="I15" s="24">
        <v>0</v>
      </c>
      <c r="J15" s="24">
        <v>0</v>
      </c>
    </row>
    <row r="16" spans="1:15" ht="24.95" customHeight="1">
      <c r="B16" s="23" t="s">
        <v>61</v>
      </c>
      <c r="C16" s="24">
        <v>0</v>
      </c>
      <c r="D16" s="24">
        <v>0</v>
      </c>
      <c r="E16" s="24">
        <v>0</v>
      </c>
      <c r="F16" s="9"/>
      <c r="G16" s="23" t="s">
        <v>119</v>
      </c>
      <c r="H16" s="24">
        <v>0</v>
      </c>
      <c r="I16" s="24">
        <v>0</v>
      </c>
      <c r="J16" s="24">
        <f>M17</f>
        <v>0</v>
      </c>
    </row>
    <row r="17" spans="1:10" ht="24.95" customHeight="1">
      <c r="B17" s="23" t="s">
        <v>15</v>
      </c>
      <c r="C17" s="24">
        <v>0</v>
      </c>
      <c r="D17" s="24">
        <v>0</v>
      </c>
      <c r="E17" s="24">
        <v>0</v>
      </c>
      <c r="F17" s="9"/>
      <c r="G17" s="23" t="s">
        <v>47</v>
      </c>
      <c r="H17" s="24">
        <v>0</v>
      </c>
      <c r="I17" s="24">
        <v>0</v>
      </c>
      <c r="J17" s="24">
        <f>Entretenimiento15395163758799111123[[#This Row],[COSTO PREVISTO]]-Entretenimiento15395163758799111123[[#This Row],[COSTO REAL]]</f>
        <v>0</v>
      </c>
    </row>
    <row r="18" spans="1:10" ht="24.95" customHeight="1">
      <c r="B18" s="23" t="s">
        <v>113</v>
      </c>
      <c r="C18" s="24">
        <v>0</v>
      </c>
      <c r="D18" s="24">
        <v>0</v>
      </c>
      <c r="E18" s="24">
        <v>0</v>
      </c>
      <c r="F18" s="9"/>
      <c r="G18" s="23" t="s">
        <v>48</v>
      </c>
      <c r="H18" s="24">
        <v>0</v>
      </c>
      <c r="I18" s="24">
        <v>0</v>
      </c>
      <c r="J18" s="24">
        <f>Entretenimiento15395163758799111123[[#This Row],[COSTO PREVISTO]]-Entretenimiento15395163758799111123[[#This Row],[COSTO REAL]]</f>
        <v>0</v>
      </c>
    </row>
    <row r="19" spans="1:10" ht="24.95" customHeight="1">
      <c r="B19" s="23" t="s">
        <v>71</v>
      </c>
      <c r="C19" s="24">
        <v>0</v>
      </c>
      <c r="D19" s="24">
        <v>0</v>
      </c>
      <c r="E19" s="24">
        <f>Alojamiento14385062748698110122[[#This Row],[COSTO PREVISTO]]-Alojamiento14385062748698110122[[#This Row],[COSTO REAL]]</f>
        <v>0</v>
      </c>
      <c r="F19" s="9"/>
      <c r="G19" s="23" t="s">
        <v>82</v>
      </c>
      <c r="H19" s="24">
        <v>0</v>
      </c>
      <c r="I19" s="24">
        <v>0</v>
      </c>
      <c r="J19" s="24">
        <f>Entretenimiento15395163758799111123[[#This Row],[COSTO PREVISTO]]-Entretenimiento15395163758799111123[[#This Row],[COSTO REAL]]</f>
        <v>0</v>
      </c>
    </row>
    <row r="20" spans="1:10" ht="24.95" customHeight="1">
      <c r="B20" s="23" t="s">
        <v>72</v>
      </c>
      <c r="C20" s="24">
        <v>0</v>
      </c>
      <c r="D20" s="24">
        <v>0</v>
      </c>
      <c r="E20" s="24">
        <f>Alojamiento14385062748698110122[[#This Row],[COSTO PREVISTO]]-Alojamiento14385062748698110122[[#This Row],[COSTO REAL]]</f>
        <v>0</v>
      </c>
      <c r="F20" s="9"/>
      <c r="G20" s="23" t="s">
        <v>49</v>
      </c>
      <c r="H20" s="24">
        <v>0</v>
      </c>
      <c r="I20" s="24">
        <v>0</v>
      </c>
      <c r="J20" s="24">
        <f>Entretenimiento15395163758799111123[[#This Row],[COSTO PREVISTO]]-Entretenimiento15395163758799111123[[#This Row],[COSTO REAL]]</f>
        <v>0</v>
      </c>
    </row>
    <row r="21" spans="1:10" ht="24.95" customHeight="1">
      <c r="B21" s="23" t="s">
        <v>81</v>
      </c>
      <c r="C21" s="24">
        <v>0</v>
      </c>
      <c r="D21" s="24">
        <v>0</v>
      </c>
      <c r="E21" s="24">
        <f>Alojamiento14385062748698110122[[#This Row],[COSTO PREVISTO]]-Alojamiento14385062748698110122[[#This Row],[COSTO REAL]]</f>
        <v>0</v>
      </c>
      <c r="F21" s="9"/>
      <c r="G21" s="23" t="s">
        <v>18</v>
      </c>
      <c r="H21" s="24">
        <v>0</v>
      </c>
      <c r="I21" s="24">
        <v>0</v>
      </c>
      <c r="J21" s="24">
        <f>Entretenimiento15395163758799111123[[#This Row],[COSTO PREVISTO]]-Entretenimiento15395163758799111123[[#This Row],[COSTO REAL]]</f>
        <v>0</v>
      </c>
    </row>
    <row r="22" spans="1:10" ht="24.95" customHeight="1">
      <c r="B22" s="23" t="s">
        <v>73</v>
      </c>
      <c r="C22" s="24">
        <v>0</v>
      </c>
      <c r="D22" s="24">
        <v>0</v>
      </c>
      <c r="E22" s="24">
        <f>Alojamiento14385062748698110122[[#This Row],[COSTO PREVISTO]]-Alojamiento14385062748698110122[[#This Row],[COSTO REAL]]</f>
        <v>0</v>
      </c>
      <c r="F22" s="9"/>
      <c r="G22" s="23" t="s">
        <v>18</v>
      </c>
      <c r="H22" s="24">
        <v>0</v>
      </c>
      <c r="I22" s="24">
        <v>0</v>
      </c>
      <c r="J22" s="24">
        <f>Entretenimiento15395163758799111123[[#This Row],[COSTO PREVISTO]]-Entretenimiento15395163758799111123[[#This Row],[COSTO REAL]]</f>
        <v>0</v>
      </c>
    </row>
    <row r="23" spans="1:10" ht="24.95" customHeight="1">
      <c r="B23" s="23" t="s">
        <v>17</v>
      </c>
      <c r="C23" s="24">
        <v>0</v>
      </c>
      <c r="D23" s="24">
        <v>0</v>
      </c>
      <c r="E23" s="24">
        <f>Alojamiento14385062748698110122[[#This Row],[COSTO PREVISTO]]-Alojamiento14385062748698110122[[#This Row],[COSTO REAL]]</f>
        <v>0</v>
      </c>
      <c r="F23" s="9"/>
      <c r="G23" s="23" t="s">
        <v>18</v>
      </c>
      <c r="H23" s="24">
        <v>0</v>
      </c>
      <c r="I23" s="24">
        <v>0</v>
      </c>
      <c r="J23" s="24">
        <f>Entretenimiento15395163758799111123[[#This Row],[COSTO PREVISTO]]-Entretenimiento15395163758799111123[[#This Row],[COSTO REAL]]</f>
        <v>0</v>
      </c>
    </row>
    <row r="24" spans="1:10" ht="24.95" customHeight="1">
      <c r="B24" s="23" t="s">
        <v>104</v>
      </c>
      <c r="C24" s="24">
        <v>0</v>
      </c>
      <c r="D24" s="24">
        <v>0</v>
      </c>
      <c r="E24" s="24">
        <v>0</v>
      </c>
      <c r="F24" s="9"/>
      <c r="G24" s="25" t="s">
        <v>19</v>
      </c>
      <c r="H24" s="27" t="s">
        <v>66</v>
      </c>
      <c r="I24" s="27" t="s">
        <v>66</v>
      </c>
      <c r="J24" s="26">
        <f>SUBTOTAL(109,Entretenimiento15395163758799111123[DIFERENCIA])</f>
        <v>0</v>
      </c>
    </row>
    <row r="25" spans="1:10" ht="24.95" customHeight="1">
      <c r="B25" s="25" t="s">
        <v>19</v>
      </c>
      <c r="C25" s="26">
        <f>SUBTOTAL(109,Alojamiento14385062748698110122[COSTO PREVISTO])</f>
        <v>0</v>
      </c>
      <c r="D25" s="26">
        <f>SUBTOTAL(109,Alojamiento14385062748698110122[COSTO REAL])</f>
        <v>0</v>
      </c>
      <c r="E25" s="26">
        <f>SUBTOTAL(109,Alojamiento14385062748698110122[DIFERENCIA])</f>
        <v>0</v>
      </c>
      <c r="F25" s="9"/>
      <c r="G25" s="41"/>
      <c r="H25" s="41"/>
      <c r="I25" s="41"/>
      <c r="J25" s="41"/>
    </row>
    <row r="26" spans="1:10" ht="24.95" customHeight="1">
      <c r="B26" s="41"/>
      <c r="C26" s="41"/>
      <c r="D26" s="41"/>
      <c r="E26" s="41"/>
      <c r="F26" s="9"/>
      <c r="G26" s="21" t="s">
        <v>50</v>
      </c>
      <c r="H26" s="21" t="s">
        <v>76</v>
      </c>
      <c r="I26" s="21" t="s">
        <v>75</v>
      </c>
      <c r="J26" s="21" t="s">
        <v>77</v>
      </c>
    </row>
    <row r="27" spans="1:10" ht="24.95" customHeight="1">
      <c r="A27" s="4" t="s">
        <v>8</v>
      </c>
      <c r="B27" s="21" t="s">
        <v>20</v>
      </c>
      <c r="C27" s="21" t="s">
        <v>40</v>
      </c>
      <c r="D27" s="21" t="s">
        <v>41</v>
      </c>
      <c r="E27" s="21" t="s">
        <v>43</v>
      </c>
      <c r="F27" s="9"/>
      <c r="G27" s="23" t="s">
        <v>51</v>
      </c>
      <c r="H27" s="24">
        <v>0</v>
      </c>
      <c r="I27" s="24">
        <v>0</v>
      </c>
      <c r="J27" s="24">
        <v>0</v>
      </c>
    </row>
    <row r="28" spans="1:10" ht="24.95" customHeight="1">
      <c r="B28" s="23" t="s">
        <v>62</v>
      </c>
      <c r="C28" s="24">
        <v>0</v>
      </c>
      <c r="D28" s="24">
        <v>0</v>
      </c>
      <c r="E28" s="24">
        <f>Transporte174153657789101113125[[#This Row],[Costo previsto]]-Transporte174153657789101113125[[#This Row],[Costo real]]</f>
        <v>0</v>
      </c>
      <c r="F28" s="9"/>
      <c r="G28" s="23" t="s">
        <v>52</v>
      </c>
      <c r="H28" s="24">
        <v>0</v>
      </c>
      <c r="I28" s="24">
        <v>0</v>
      </c>
      <c r="J28" s="24">
        <f>Prestamos164052647688100112124[[#This Row],[COSTO PREVISTO]]-Prestamos164052647688100112124[[#This Row],[COSTO REAL]]</f>
        <v>0</v>
      </c>
    </row>
    <row r="29" spans="1:10" ht="24.95" customHeight="1">
      <c r="B29" s="23" t="s">
        <v>83</v>
      </c>
      <c r="C29" s="24">
        <v>0</v>
      </c>
      <c r="D29" s="24">
        <v>0</v>
      </c>
      <c r="E29" s="24">
        <f>Transporte174153657789101113125[[#This Row],[Costo previsto]]-Transporte174153657789101113125[[#This Row],[Costo real]]</f>
        <v>0</v>
      </c>
      <c r="F29" s="9"/>
      <c r="G29" s="23" t="s">
        <v>109</v>
      </c>
      <c r="H29" s="24">
        <v>0</v>
      </c>
      <c r="I29" s="24">
        <v>0</v>
      </c>
      <c r="J29" s="24">
        <v>0</v>
      </c>
    </row>
    <row r="30" spans="1:10" ht="24.95" customHeight="1">
      <c r="B30" s="23" t="s">
        <v>21</v>
      </c>
      <c r="C30" s="24">
        <v>0</v>
      </c>
      <c r="D30" s="24">
        <v>0</v>
      </c>
      <c r="E30" s="24">
        <f>Transporte174153657789101113125[[#This Row],[Costo previsto]]-Transporte174153657789101113125[[#This Row],[Costo real]]</f>
        <v>0</v>
      </c>
      <c r="F30" s="9"/>
      <c r="G30" s="23" t="s">
        <v>53</v>
      </c>
      <c r="H30" s="24">
        <v>0</v>
      </c>
      <c r="I30" s="24">
        <v>0</v>
      </c>
      <c r="J30" s="24">
        <f>Prestamos164052647688100112124[[#This Row],[COSTO PREVISTO]]-Prestamos164052647688100112124[[#This Row],[COSTO REAL]]</f>
        <v>0</v>
      </c>
    </row>
    <row r="31" spans="1:10" ht="24.95" customHeight="1">
      <c r="B31" s="23" t="s">
        <v>22</v>
      </c>
      <c r="C31" s="24">
        <v>0</v>
      </c>
      <c r="D31" s="24">
        <v>0</v>
      </c>
      <c r="E31" s="24">
        <f>Transporte174153657789101113125[[#This Row],[Costo previsto]]-Transporte174153657789101113125[[#This Row],[Costo real]]</f>
        <v>0</v>
      </c>
      <c r="F31" s="9"/>
      <c r="G31" s="23" t="s">
        <v>53</v>
      </c>
      <c r="H31" s="24">
        <v>0</v>
      </c>
      <c r="I31" s="24">
        <v>0</v>
      </c>
      <c r="J31" s="24">
        <f>Prestamos164052647688100112124[[#This Row],[COSTO PREVISTO]]-Prestamos164052647688100112124[[#This Row],[COSTO REAL]]</f>
        <v>0</v>
      </c>
    </row>
    <row r="32" spans="1:10" ht="24.95" customHeight="1">
      <c r="B32" s="23" t="s">
        <v>23</v>
      </c>
      <c r="C32" s="24">
        <v>0</v>
      </c>
      <c r="D32" s="24">
        <v>0</v>
      </c>
      <c r="E32" s="24">
        <v>0</v>
      </c>
      <c r="F32" s="9"/>
      <c r="G32" s="23" t="s">
        <v>18</v>
      </c>
      <c r="H32" s="24">
        <v>0</v>
      </c>
      <c r="I32" s="24">
        <v>0</v>
      </c>
      <c r="J32" s="24">
        <f>Prestamos164052647688100112124[[#This Row],[COSTO PREVISTO]]-Prestamos164052647688100112124[[#This Row],[COSTO REAL]]</f>
        <v>0</v>
      </c>
    </row>
    <row r="33" spans="1:10" ht="24.95" customHeight="1">
      <c r="B33" s="23" t="s">
        <v>24</v>
      </c>
      <c r="C33" s="24">
        <v>0</v>
      </c>
      <c r="D33" s="24">
        <v>0</v>
      </c>
      <c r="E33" s="24">
        <f>Transporte174153657789101113125[[#This Row],[Costo previsto]]-Transporte174153657789101113125[[#This Row],[Costo real]]</f>
        <v>0</v>
      </c>
      <c r="F33" s="9"/>
      <c r="G33" s="25" t="s">
        <v>19</v>
      </c>
      <c r="H33" s="27" t="s">
        <v>66</v>
      </c>
      <c r="I33" s="27" t="s">
        <v>66</v>
      </c>
      <c r="J33" s="26">
        <f>SUBTOTAL(109,Prestamos164052647688100112124[DIFERENCIA])</f>
        <v>0</v>
      </c>
    </row>
    <row r="34" spans="1:10" ht="24.95" customHeight="1">
      <c r="B34" s="23" t="s">
        <v>64</v>
      </c>
      <c r="C34" s="24">
        <v>0</v>
      </c>
      <c r="D34" s="24">
        <v>0</v>
      </c>
      <c r="E34" s="24">
        <f>Transporte174153657789101113125[[#This Row],[Costo previsto]]-Transporte174153657789101113125[[#This Row],[Costo real]]</f>
        <v>0</v>
      </c>
      <c r="F34" s="9"/>
      <c r="G34" s="41"/>
      <c r="H34" s="41"/>
      <c r="I34" s="41"/>
      <c r="J34" s="41"/>
    </row>
    <row r="35" spans="1:10" ht="24.95" customHeight="1">
      <c r="B35" s="25" t="s">
        <v>19</v>
      </c>
      <c r="C35" s="26">
        <f>SUBTOTAL(109,Transporte174153657789101113125[Costo previsto])</f>
        <v>0</v>
      </c>
      <c r="D35" s="26">
        <f>SUBTOTAL(109,Transporte174153657789101113125[Costo real])</f>
        <v>0</v>
      </c>
      <c r="E35" s="26">
        <f>SUBTOTAL(109,Transporte174153657789101113125[Diferencia])</f>
        <v>0</v>
      </c>
      <c r="F35" s="9"/>
      <c r="G35" s="21" t="s">
        <v>54</v>
      </c>
      <c r="H35" s="21" t="s">
        <v>76</v>
      </c>
      <c r="I35" s="21" t="s">
        <v>75</v>
      </c>
      <c r="J35" s="21" t="s">
        <v>77</v>
      </c>
    </row>
    <row r="36" spans="1:10" ht="24.95" customHeight="1">
      <c r="B36" s="41"/>
      <c r="C36" s="41"/>
      <c r="D36" s="41"/>
      <c r="E36" s="41"/>
      <c r="F36" s="9"/>
      <c r="G36" s="23" t="s">
        <v>55</v>
      </c>
      <c r="H36" s="24">
        <v>0</v>
      </c>
      <c r="I36" s="24">
        <v>0</v>
      </c>
      <c r="J36" s="24">
        <f>Impuestos194355677991103115127[[#This Row],[COSTO PREVISTO]]-Impuestos194355677991103115127[[#This Row],[COSTO REAL]]</f>
        <v>0</v>
      </c>
    </row>
    <row r="37" spans="1:10" ht="24.95" customHeight="1">
      <c r="A37" s="4" t="s">
        <v>9</v>
      </c>
      <c r="B37" s="21" t="s">
        <v>25</v>
      </c>
      <c r="C37" s="21" t="s">
        <v>76</v>
      </c>
      <c r="D37" s="21" t="s">
        <v>75</v>
      </c>
      <c r="E37" s="21" t="s">
        <v>77</v>
      </c>
      <c r="F37" s="9"/>
      <c r="G37" s="23" t="s">
        <v>56</v>
      </c>
      <c r="H37" s="24">
        <v>0</v>
      </c>
      <c r="I37" s="24">
        <v>0</v>
      </c>
      <c r="J37" s="24">
        <f>Impuestos194355677991103115127[[#This Row],[COSTO PREVISTO]]-Impuestos194355677991103115127[[#This Row],[COSTO REAL]]</f>
        <v>0</v>
      </c>
    </row>
    <row r="38" spans="1:10" ht="24.95" customHeight="1">
      <c r="B38" s="23" t="s">
        <v>26</v>
      </c>
      <c r="C38" s="24">
        <v>0</v>
      </c>
      <c r="D38" s="24">
        <v>0</v>
      </c>
      <c r="E38" s="24">
        <v>0</v>
      </c>
      <c r="F38" s="9"/>
      <c r="G38" s="23" t="s">
        <v>57</v>
      </c>
      <c r="H38" s="24">
        <v>0</v>
      </c>
      <c r="I38" s="24">
        <v>0</v>
      </c>
      <c r="J38" s="24">
        <f>Impuestos194355677991103115127[[#This Row],[COSTO PREVISTO]]-Impuestos194355677991103115127[[#This Row],[COSTO REAL]]</f>
        <v>0</v>
      </c>
    </row>
    <row r="39" spans="1:10" ht="24.95" customHeight="1">
      <c r="B39" s="23" t="s">
        <v>98</v>
      </c>
      <c r="C39" s="24">
        <v>0</v>
      </c>
      <c r="D39" s="24">
        <v>0</v>
      </c>
      <c r="E39" s="24">
        <v>0</v>
      </c>
      <c r="F39" s="9"/>
      <c r="G39" s="23" t="s">
        <v>18</v>
      </c>
      <c r="H39" s="24">
        <v>0</v>
      </c>
      <c r="I39" s="24">
        <v>0</v>
      </c>
      <c r="J39" s="24">
        <f>Impuestos194355677991103115127[[#This Row],[COSTO PREVISTO]]-Impuestos194355677991103115127[[#This Row],[COSTO REAL]]</f>
        <v>0</v>
      </c>
    </row>
    <row r="40" spans="1:10" ht="24.95" customHeight="1">
      <c r="B40" s="23" t="s">
        <v>27</v>
      </c>
      <c r="C40" s="24">
        <v>0</v>
      </c>
      <c r="D40" s="24">
        <v>0</v>
      </c>
      <c r="E40" s="24">
        <v>0</v>
      </c>
      <c r="F40" s="9"/>
      <c r="G40" s="25" t="s">
        <v>19</v>
      </c>
      <c r="H40" s="27" t="s">
        <v>66</v>
      </c>
      <c r="I40" s="27" t="s">
        <v>66</v>
      </c>
      <c r="J40" s="26">
        <f>SUBTOTAL(109,Impuestos194355677991103115127[DIFERENCIA])</f>
        <v>0</v>
      </c>
    </row>
    <row r="41" spans="1:10" ht="24.95" customHeight="1">
      <c r="B41" s="23" t="s">
        <v>18</v>
      </c>
      <c r="C41" s="24">
        <v>0</v>
      </c>
      <c r="D41" s="24">
        <v>0</v>
      </c>
      <c r="E41" s="24">
        <f>Seguro184254667890102114126[[#This Row],[COSTO PREVISTO]]-Seguro184254667890102114126[[#This Row],[COSTO REAL]]</f>
        <v>0</v>
      </c>
      <c r="F41" s="9"/>
      <c r="G41" s="41"/>
      <c r="H41" s="41"/>
      <c r="I41" s="41"/>
      <c r="J41" s="41"/>
    </row>
    <row r="42" spans="1:10" ht="24.95" customHeight="1">
      <c r="B42" s="25" t="s">
        <v>19</v>
      </c>
      <c r="C42" s="26">
        <f>SUBTOTAL(109,Seguro184254667890102114126[COSTO PREVISTO])</f>
        <v>0</v>
      </c>
      <c r="D42" s="26">
        <f>SUBTOTAL(109,Seguro184254667890102114126[COSTO REAL])</f>
        <v>0</v>
      </c>
      <c r="E42" s="26">
        <f>SUBTOTAL(109,Seguro184254667890102114126[DIFERENCIA])</f>
        <v>0</v>
      </c>
      <c r="F42" s="9"/>
      <c r="G42" s="21" t="s">
        <v>58</v>
      </c>
      <c r="H42" s="21" t="s">
        <v>76</v>
      </c>
      <c r="I42" s="21" t="s">
        <v>75</v>
      </c>
      <c r="J42" s="21" t="s">
        <v>77</v>
      </c>
    </row>
    <row r="43" spans="1:10" ht="24.95" customHeight="1">
      <c r="B43" s="41"/>
      <c r="C43" s="41"/>
      <c r="D43" s="41"/>
      <c r="E43" s="41"/>
      <c r="F43" s="9"/>
      <c r="G43" s="23" t="s">
        <v>96</v>
      </c>
      <c r="H43" s="24">
        <v>0</v>
      </c>
      <c r="I43" s="24">
        <v>0</v>
      </c>
      <c r="J43" s="24">
        <f>Ahorros204456688092104116128[[#This Row],[COSTO PREVISTO]]-Ahorros204456688092104116128[[#This Row],[COSTO REAL]]</f>
        <v>0</v>
      </c>
    </row>
    <row r="44" spans="1:10" ht="24.95" customHeight="1">
      <c r="A44" s="4" t="s">
        <v>10</v>
      </c>
      <c r="B44" s="21" t="s">
        <v>28</v>
      </c>
      <c r="C44" s="21" t="s">
        <v>76</v>
      </c>
      <c r="D44" s="21" t="s">
        <v>75</v>
      </c>
      <c r="E44" s="21" t="s">
        <v>77</v>
      </c>
      <c r="F44" s="9"/>
      <c r="G44" s="23" t="s">
        <v>97</v>
      </c>
      <c r="H44" s="24">
        <v>0</v>
      </c>
      <c r="I44" s="24">
        <v>0</v>
      </c>
      <c r="J44" s="24">
        <f>Ahorros204456688092104116128[[#This Row],[COSTO PREVISTO]]-Ahorros204456688092104116128[[#This Row],[COSTO REAL]]</f>
        <v>0</v>
      </c>
    </row>
    <row r="45" spans="1:10" ht="24.95" customHeight="1">
      <c r="B45" s="23" t="s">
        <v>29</v>
      </c>
      <c r="C45" s="24">
        <v>0</v>
      </c>
      <c r="D45" s="24">
        <v>0</v>
      </c>
      <c r="E45" s="24">
        <v>0</v>
      </c>
      <c r="F45" s="9"/>
      <c r="G45" s="23" t="s">
        <v>18</v>
      </c>
      <c r="H45" s="24">
        <v>0</v>
      </c>
      <c r="I45" s="24">
        <v>0</v>
      </c>
      <c r="J45" s="24">
        <f>Ahorros204456688092104116128[[#This Row],[COSTO PREVISTO]]-Ahorros204456688092104116128[[#This Row],[COSTO REAL]]</f>
        <v>0</v>
      </c>
    </row>
    <row r="46" spans="1:10" ht="24.95" customHeight="1">
      <c r="B46" s="23" t="s">
        <v>30</v>
      </c>
      <c r="C46" s="24">
        <v>0</v>
      </c>
      <c r="D46" s="24">
        <v>0</v>
      </c>
      <c r="E46" s="24">
        <f>Comida214557698193105117129[[#This Row],[COSTO PREVISTO]]-Comida214557698193105117129[[#This Row],[COSTO REAL]]</f>
        <v>0</v>
      </c>
      <c r="F46" s="9"/>
      <c r="G46" s="25" t="s">
        <v>19</v>
      </c>
      <c r="H46" s="27" t="s">
        <v>66</v>
      </c>
      <c r="I46" s="27" t="s">
        <v>66</v>
      </c>
      <c r="J46" s="26">
        <f>SUBTOTAL(109,Ahorros204456688092104116128[DIFERENCIA])</f>
        <v>0</v>
      </c>
    </row>
    <row r="47" spans="1:10" ht="24.95" customHeight="1">
      <c r="B47" s="23" t="s">
        <v>65</v>
      </c>
      <c r="C47" s="24">
        <v>0</v>
      </c>
      <c r="D47" s="24">
        <v>0</v>
      </c>
      <c r="E47" s="24">
        <f>Comida214557698193105117129[[#This Row],[COSTO PREVISTO]]-Comida214557698193105117129[[#This Row],[COSTO REAL]]</f>
        <v>0</v>
      </c>
      <c r="F47" s="9"/>
      <c r="G47" s="41"/>
      <c r="H47" s="41"/>
      <c r="I47" s="41"/>
      <c r="J47" s="41"/>
    </row>
    <row r="48" spans="1:10" ht="24.95" customHeight="1">
      <c r="B48" s="25" t="s">
        <v>19</v>
      </c>
      <c r="C48" s="26">
        <f>SUBTOTAL(109,Comida214557698193105117129[COSTO PREVISTO])</f>
        <v>0</v>
      </c>
      <c r="D48" s="26">
        <f>SUBTOTAL(109,Comida214557698193105117129[COSTO REAL])</f>
        <v>0</v>
      </c>
      <c r="E48" s="26">
        <f>SUBTOTAL(109,Comida214557698193105117129[DIFERENCIA])</f>
        <v>0</v>
      </c>
      <c r="F48" s="9"/>
      <c r="G48" s="21" t="s">
        <v>79</v>
      </c>
      <c r="H48" s="21" t="s">
        <v>76</v>
      </c>
      <c r="I48" s="21" t="s">
        <v>80</v>
      </c>
      <c r="J48" s="21" t="s">
        <v>77</v>
      </c>
    </row>
    <row r="49" spans="1:10" ht="24.95" customHeight="1">
      <c r="B49" s="41"/>
      <c r="C49" s="41"/>
      <c r="D49" s="41"/>
      <c r="E49" s="41"/>
      <c r="F49" s="9"/>
      <c r="G49" s="23" t="s">
        <v>85</v>
      </c>
      <c r="H49" s="24">
        <v>0</v>
      </c>
      <c r="I49" s="24">
        <v>0</v>
      </c>
      <c r="J49" s="24">
        <v>0</v>
      </c>
    </row>
    <row r="50" spans="1:10" ht="24.95" customHeight="1">
      <c r="A50" s="4" t="s">
        <v>11</v>
      </c>
      <c r="B50" s="21" t="s">
        <v>31</v>
      </c>
      <c r="C50" s="21" t="s">
        <v>76</v>
      </c>
      <c r="D50" s="21" t="s">
        <v>75</v>
      </c>
      <c r="E50" s="21" t="s">
        <v>77</v>
      </c>
      <c r="F50" s="9"/>
      <c r="G50" s="23" t="s">
        <v>114</v>
      </c>
      <c r="H50" s="24">
        <v>0</v>
      </c>
      <c r="I50" s="24">
        <v>0</v>
      </c>
      <c r="J50" s="24">
        <v>0</v>
      </c>
    </row>
    <row r="51" spans="1:10" ht="24.95" customHeight="1">
      <c r="B51" s="23" t="s">
        <v>32</v>
      </c>
      <c r="C51" s="24">
        <v>0</v>
      </c>
      <c r="D51" s="24">
        <v>0</v>
      </c>
      <c r="E51" s="24">
        <v>0</v>
      </c>
      <c r="F51" s="9"/>
      <c r="G51" s="23" t="s">
        <v>115</v>
      </c>
      <c r="H51" s="24">
        <v>0</v>
      </c>
      <c r="I51" s="24">
        <v>0</v>
      </c>
      <c r="J51" s="24">
        <v>0</v>
      </c>
    </row>
    <row r="52" spans="1:10" ht="24.95" customHeight="1">
      <c r="B52" s="23" t="s">
        <v>33</v>
      </c>
      <c r="C52" s="24">
        <v>0</v>
      </c>
      <c r="D52" s="24">
        <v>0</v>
      </c>
      <c r="E52" s="24">
        <f>Mascotas234759718395107119131[[#This Row],[COSTO PREVISTO]]-Mascotas234759718395107119131[[#This Row],[COSTO REAL]]</f>
        <v>0</v>
      </c>
      <c r="F52" s="9"/>
      <c r="G52" s="25" t="s">
        <v>19</v>
      </c>
      <c r="H52" s="27">
        <f>SUBTOTAL(109,Regalos224658708294106118130[COSTO PREVISTO])</f>
        <v>0</v>
      </c>
      <c r="I52" s="27" t="s">
        <v>66</v>
      </c>
      <c r="J52" s="26">
        <f>SUBTOTAL(109,Regalos224658708294106118130[DIFERENCIA])</f>
        <v>0</v>
      </c>
    </row>
    <row r="53" spans="1:10" ht="24.95" customHeight="1">
      <c r="B53" s="23" t="s">
        <v>34</v>
      </c>
      <c r="C53" s="24">
        <v>0</v>
      </c>
      <c r="D53" s="24">
        <v>0</v>
      </c>
      <c r="E53" s="24">
        <f>Mascotas234759718395107119131[[#This Row],[COSTO PREVISTO]]-Mascotas234759718395107119131[[#This Row],[COSTO REAL]]</f>
        <v>0</v>
      </c>
      <c r="F53" s="9"/>
      <c r="G53" s="41"/>
      <c r="H53" s="41"/>
      <c r="I53" s="41"/>
      <c r="J53" s="41"/>
    </row>
    <row r="54" spans="1:10" ht="24.95" customHeight="1">
      <c r="B54" s="23" t="s">
        <v>35</v>
      </c>
      <c r="C54" s="24">
        <v>0</v>
      </c>
      <c r="D54" s="24">
        <v>0</v>
      </c>
      <c r="E54" s="24">
        <f>Mascotas234759718395107119131[[#This Row],[COSTO PREVISTO]]-Mascotas234759718395107119131[[#This Row],[COSTO REAL]]</f>
        <v>0</v>
      </c>
      <c r="F54" s="9"/>
      <c r="G54" s="21" t="s">
        <v>105</v>
      </c>
      <c r="H54" s="21" t="s">
        <v>76</v>
      </c>
      <c r="I54" s="21" t="s">
        <v>75</v>
      </c>
      <c r="J54" s="21" t="s">
        <v>77</v>
      </c>
    </row>
    <row r="55" spans="1:10" ht="24.95" customHeight="1">
      <c r="B55" s="23" t="s">
        <v>18</v>
      </c>
      <c r="C55" s="24">
        <v>0</v>
      </c>
      <c r="D55" s="24">
        <v>0</v>
      </c>
      <c r="E55" s="24">
        <f>Mascotas234759718395107119131[[#This Row],[COSTO PREVISTO]]-Mascotas234759718395107119131[[#This Row],[COSTO REAL]]</f>
        <v>0</v>
      </c>
      <c r="F55" s="9"/>
      <c r="G55" s="23" t="s">
        <v>106</v>
      </c>
      <c r="H55" s="24">
        <v>0</v>
      </c>
      <c r="I55" s="24">
        <v>0</v>
      </c>
      <c r="J55" s="24">
        <v>0</v>
      </c>
    </row>
    <row r="56" spans="1:10" ht="24.95" customHeight="1">
      <c r="B56" s="25" t="s">
        <v>19</v>
      </c>
      <c r="C56" s="26">
        <f>SUBTOTAL(109,Mascotas234759718395107119131[COSTO PREVISTO])</f>
        <v>0</v>
      </c>
      <c r="D56" s="26">
        <f>SUBTOTAL(109,Mascotas234759718395107119131[COSTO REAL])</f>
        <v>0</v>
      </c>
      <c r="E56" s="26">
        <f>SUBTOTAL(109,Mascotas234759718395107119131[DIFERENCIA])</f>
        <v>0</v>
      </c>
      <c r="F56" s="9"/>
      <c r="G56" s="23" t="s">
        <v>107</v>
      </c>
      <c r="H56" s="24">
        <v>0</v>
      </c>
      <c r="I56" s="24">
        <v>0</v>
      </c>
      <c r="J56" s="24">
        <v>0</v>
      </c>
    </row>
    <row r="57" spans="1:10" ht="24.95" customHeight="1">
      <c r="B57" s="41"/>
      <c r="C57" s="41"/>
      <c r="D57" s="41"/>
      <c r="E57" s="41"/>
      <c r="F57" s="9"/>
      <c r="G57" s="23" t="s">
        <v>108</v>
      </c>
      <c r="H57" s="24">
        <v>0</v>
      </c>
      <c r="I57" s="24">
        <v>0</v>
      </c>
      <c r="J57" s="24">
        <v>0</v>
      </c>
    </row>
    <row r="58" spans="1:10" ht="24.95" customHeight="1">
      <c r="A58" s="4" t="s">
        <v>12</v>
      </c>
      <c r="B58" s="21" t="s">
        <v>36</v>
      </c>
      <c r="C58" s="21" t="s">
        <v>40</v>
      </c>
      <c r="D58" s="21" t="s">
        <v>42</v>
      </c>
      <c r="E58" s="21" t="s">
        <v>43</v>
      </c>
      <c r="F58" s="9"/>
      <c r="G58" s="23" t="s">
        <v>111</v>
      </c>
      <c r="H58" s="24">
        <v>0</v>
      </c>
      <c r="I58" s="24">
        <v>0</v>
      </c>
      <c r="J58" s="24">
        <v>0</v>
      </c>
    </row>
    <row r="59" spans="1:10" ht="24.95" customHeight="1">
      <c r="B59" s="23" t="s">
        <v>33</v>
      </c>
      <c r="C59" s="24">
        <v>0</v>
      </c>
      <c r="D59" s="24">
        <v>0</v>
      </c>
      <c r="E59" s="24">
        <f>CuidadoPersonal254961738597109121133[[#This Row],[Costo previsto]]-CuidadoPersonal254961738597109121133[[#This Row],[Coste real]]</f>
        <v>0</v>
      </c>
      <c r="F59" s="9"/>
      <c r="G59" s="25" t="s">
        <v>19</v>
      </c>
      <c r="H59" s="27" t="s">
        <v>66</v>
      </c>
      <c r="I59" s="27" t="s">
        <v>66</v>
      </c>
      <c r="J59" s="26" t="s">
        <v>66</v>
      </c>
    </row>
    <row r="60" spans="1:10" ht="24.95" customHeight="1">
      <c r="B60" s="23" t="s">
        <v>95</v>
      </c>
      <c r="C60" s="24">
        <v>0</v>
      </c>
      <c r="D60" s="24">
        <v>0</v>
      </c>
      <c r="E60" s="24">
        <v>0</v>
      </c>
      <c r="F60" s="9"/>
      <c r="G60" s="41"/>
      <c r="H60" s="41"/>
      <c r="I60" s="41"/>
      <c r="J60" s="41"/>
    </row>
    <row r="61" spans="1:10" ht="24.95" customHeight="1">
      <c r="A61" s="4" t="s">
        <v>13</v>
      </c>
      <c r="B61" s="23" t="s">
        <v>37</v>
      </c>
      <c r="C61" s="24">
        <v>0</v>
      </c>
      <c r="D61" s="24">
        <v>0</v>
      </c>
      <c r="E61" s="24">
        <f>CuidadoPersonal254961738597109121133[[#This Row],[Costo previsto]]-CuidadoPersonal254961738597109121133[[#This Row],[Coste real]]</f>
        <v>0</v>
      </c>
      <c r="F61" s="9"/>
      <c r="G61" s="35" t="s">
        <v>89</v>
      </c>
      <c r="H61" s="35"/>
      <c r="I61" s="35"/>
      <c r="J61" s="40">
        <f>SUBTOTAL(109,Alojamiento14385062748698110122[COSTO PREVISTO],Transporte174153657789101113125[Costo previsto],Seguro184254667890102114126[COSTO PREVISTO],Comida214557698193105117129[COSTO PREVISTO],Mascotas234759718395107119131[COSTO PREVISTO],CuidadoPersonal254961738597109121133[Costo previsto],Entretenimiento15395163758799111123[COSTO PREVISTO],Prestamos164052647688100112124[COSTO PREVISTO],Impuestos194355677991103115127[COSTO PREVISTO],Ahorros204456688092104116128[COSTO PREVISTO],Regalos224658708294106118130[COSTO PREVISTO],Legal244860728496108120132[COSTO PREVISTO])</f>
        <v>0</v>
      </c>
    </row>
    <row r="62" spans="1:10" ht="24.95" customHeight="1">
      <c r="B62" s="23" t="s">
        <v>38</v>
      </c>
      <c r="C62" s="24">
        <v>0</v>
      </c>
      <c r="D62" s="24">
        <v>0</v>
      </c>
      <c r="E62" s="24">
        <f>CuidadoPersonal254961738597109121133[[#This Row],[Costo previsto]]-CuidadoPersonal254961738597109121133[[#This Row],[Coste real]]</f>
        <v>0</v>
      </c>
      <c r="F62" s="9"/>
      <c r="G62" s="35"/>
      <c r="H62" s="35"/>
      <c r="I62" s="35"/>
      <c r="J62" s="40"/>
    </row>
    <row r="63" spans="1:10" ht="24.95" customHeight="1">
      <c r="B63" s="23" t="s">
        <v>39</v>
      </c>
      <c r="C63" s="24">
        <v>0</v>
      </c>
      <c r="D63" s="24">
        <v>0</v>
      </c>
      <c r="E63" s="24">
        <f>CuidadoPersonal254961738597109121133[[#This Row],[Costo previsto]]-CuidadoPersonal254961738597109121133[[#This Row],[Coste real]]</f>
        <v>0</v>
      </c>
      <c r="F63" s="9"/>
      <c r="G63" s="35" t="s">
        <v>90</v>
      </c>
      <c r="H63" s="35"/>
      <c r="I63" s="35"/>
      <c r="J63" s="40">
        <f>SUBTOTAL(109,Alojamiento14385062748698110122[COSTO REAL],Transporte174153657789101113125[Costo real],Seguro184254667890102114126[COSTO REAL],Comida214557698193105117129[COSTO REAL],Mascotas234759718395107119131[COSTO REAL],CuidadoPersonal254961738597109121133[Coste real],Entretenimiento15395163758799111123[COSTO REAL],Prestamos164052647688100112124[COSTO REAL],Impuestos194355677991103115127[COSTO REAL],Ahorros204456688092104116128[COSTO REAL],Regalos224658708294106118130[[COSTO REAL ]],Legal244860728496108120132[COSTO REAL])</f>
        <v>0</v>
      </c>
    </row>
    <row r="64" spans="1:10" ht="24.95" customHeight="1">
      <c r="B64" s="23" t="s">
        <v>88</v>
      </c>
      <c r="C64" s="24">
        <v>0</v>
      </c>
      <c r="D64" s="24">
        <v>0</v>
      </c>
      <c r="E64" s="24">
        <f>CuidadoPersonal254961738597109121133[[#This Row],[Costo previsto]]-CuidadoPersonal254961738597109121133[[#This Row],[Coste real]]</f>
        <v>0</v>
      </c>
      <c r="F64" s="9"/>
      <c r="G64" s="35"/>
      <c r="H64" s="35"/>
      <c r="I64" s="35"/>
      <c r="J64" s="40"/>
    </row>
    <row r="65" spans="2:10" ht="24.95" customHeight="1">
      <c r="B65" s="23" t="s">
        <v>18</v>
      </c>
      <c r="C65" s="24">
        <v>0</v>
      </c>
      <c r="D65" s="24">
        <v>0</v>
      </c>
      <c r="E65" s="24">
        <f>CuidadoPersonal254961738597109121133[[#This Row],[Costo previsto]]-CuidadoPersonal254961738597109121133[[#This Row],[Coste real]]</f>
        <v>0</v>
      </c>
      <c r="F65" s="9"/>
      <c r="G65" s="35" t="s">
        <v>91</v>
      </c>
      <c r="H65" s="35"/>
      <c r="I65" s="35"/>
      <c r="J65" s="40">
        <f>J61-J63</f>
        <v>0</v>
      </c>
    </row>
    <row r="66" spans="2:10" ht="24.95" customHeight="1">
      <c r="B66" s="25" t="s">
        <v>19</v>
      </c>
      <c r="C66" s="26">
        <f>SUBTOTAL(109,CuidadoPersonal254961738597109121133[Costo previsto])</f>
        <v>0</v>
      </c>
      <c r="D66" s="26">
        <f>SUBTOTAL(109,CuidadoPersonal254961738597109121133[Coste real])</f>
        <v>0</v>
      </c>
      <c r="E66" s="26">
        <f>SUBTOTAL(109,CuidadoPersonal254961738597109121133[Diferencia])</f>
        <v>0</v>
      </c>
      <c r="F66" s="9"/>
      <c r="G66" s="35"/>
      <c r="H66" s="35"/>
      <c r="I66" s="35"/>
      <c r="J66" s="40"/>
    </row>
    <row r="67" spans="2:10">
      <c r="B67" s="42"/>
      <c r="C67" s="42"/>
      <c r="D67" s="42"/>
      <c r="E67" s="42"/>
    </row>
  </sheetData>
  <mergeCells count="26">
    <mergeCell ref="G63:I64"/>
    <mergeCell ref="J63:J64"/>
    <mergeCell ref="G65:I66"/>
    <mergeCell ref="J65:J66"/>
    <mergeCell ref="B67:E67"/>
    <mergeCell ref="G61:I62"/>
    <mergeCell ref="J61:J62"/>
    <mergeCell ref="G25:J25"/>
    <mergeCell ref="B26:E26"/>
    <mergeCell ref="G34:J34"/>
    <mergeCell ref="B36:E36"/>
    <mergeCell ref="G41:J41"/>
    <mergeCell ref="B43:E43"/>
    <mergeCell ref="G47:J47"/>
    <mergeCell ref="B49:E49"/>
    <mergeCell ref="G53:J53"/>
    <mergeCell ref="B57:E57"/>
    <mergeCell ref="G60:J60"/>
    <mergeCell ref="E8:G9"/>
    <mergeCell ref="H8:H9"/>
    <mergeCell ref="B9:C9"/>
    <mergeCell ref="B4:C4"/>
    <mergeCell ref="E4:G5"/>
    <mergeCell ref="H4:H5"/>
    <mergeCell ref="E6:G7"/>
    <mergeCell ref="H6:H7"/>
  </mergeCells>
  <dataValidations count="12">
    <dataValidation allowBlank="1" showInputMessage="1" showErrorMessage="1" prompt="El total de gastos previstos se calcula automáticamente en la celda J61; el total del gasto real, en la J63; y la diferencia total, en la celda J65." sqref="A61"/>
    <dataValidation allowBlank="1" showInputMessage="1" showErrorMessage="1" prompt="Escriba la información en la tabla Cuidado personal, empezando por la celda de la derecha y en la tabla Legal, empezando por la celda G54. La instrucción siguiente se encuentra en la celda A61." sqref="A58"/>
    <dataValidation allowBlank="1" showInputMessage="1" showErrorMessage="1" prompt="Escriba la información en la tabla Mascotas, empezando por la celda de la derecha y en la tabla Regalos, empezando por la celda G48. La instrucción siguiente se encuentra en la celda A58." sqref="A50"/>
    <dataValidation allowBlank="1" showInputMessage="1" showErrorMessage="1" prompt="Escriba la información en la tabla Comida, empezando por la celda de la derecha y en la tabla Ahorros, empezando por la celda G42. La instrucción siguiente se encuentra en la celda A50." sqref="A44"/>
    <dataValidation allowBlank="1" showInputMessage="1" showErrorMessage="1" prompt="Escriba la información en la tabla Seguro, empezando por la celda de la derecha y en la tabla Impuestos, empezando por la celda G35. La instrucción siguiente se encuentra en la celda A44." sqref="A37"/>
    <dataValidation allowBlank="1" showInputMessage="1" showErrorMessage="1" prompt="Escriba la información en la tabla Transporte, empezando por la celda de la derecha y en la tabla Préstamos, empezando por la celda G26. La instrucción siguiente se encuentra en la celda A37." sqref="A27"/>
    <dataValidation allowBlank="1" showInputMessage="1" showErrorMessage="1" prompt="Escriba la información en la tabla Alojamiento, empezando por la celda de la derecha y en la tabla Entretenimiento, empezando por la celda G14. La instrucción siguiente se encuentra en la celda A27." sqref="A14"/>
    <dataValidation allowBlank="1" showInputMessage="1" showErrorMessage="1" prompt="La etiqueta Ingresos mensuales reales está en la celda de la derecha. Escriba el Ingreso 1 en la celda C10 y el Ingreso adicional en la C11 para calcular el total de ingresos mensuales en la celda C12. La instrucción siguiente está en la celda A14." sqref="A9"/>
    <dataValidation allowBlank="1" showInputMessage="1" showErrorMessage="1" prompt="El saldo previsto se calcula automáticamente en la celda H4; el saldo real, en la H6; y la diferencia, en la celda H8. La instrucción siguiente se encuentra en la celda A9." sqref="A7"/>
    <dataValidation allowBlank="1" showInputMessage="1" showErrorMessage="1" prompt="La etiqueta Ingresos mensuales previstos está en la celda de la derecha. Escriba el Ingreso 1 en la celda C5 y el Ingreso adicional en la C6 para calcular el total de ingresos mensuales en la celda C7. La instrucción siguiente se encuentra en la celda A7." sqref="A4"/>
    <dataValidation allowBlank="1" showInputMessage="1" showErrorMessage="1" prompt="El título de esta hoja de cálculo está en la celda C2. La instrucción siguiente se encuentra en la celda A4." sqref="A2"/>
    <dataValidation allowBlank="1" showInputMessage="1" showErrorMessage="1" prompt="Cree un presupuesto mensual personal en esta hoja de cálculo. Encontrará instrucciones útiles sobre cómo usar este libro en las celdas de esta columna. Use la flecha hacia abajo para empezar." sqref="A1"/>
  </dataValidations>
  <pageMargins left="0.7" right="0.7" top="0.75" bottom="0.75" header="0.3" footer="0.3"/>
  <pageSetup paperSize="9" orientation="portrait" r:id="rId1"/>
  <drawing r:id="rId2"/>
  <tableParts count="12">
    <tablePart r:id="rId3"/>
    <tablePart r:id="rId4"/>
    <tablePart r:id="rId5"/>
    <tablePart r:id="rId6"/>
    <tablePart r:id="rId7"/>
    <tablePart r:id="rId8"/>
    <tablePart r:id="rId9"/>
    <tablePart r:id="rId10"/>
    <tablePart r:id="rId11"/>
    <tablePart r:id="rId12"/>
    <tablePart r:id="rId13"/>
    <tablePart r:id="rId14"/>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O67"/>
  <sheetViews>
    <sheetView zoomScale="70" zoomScaleNormal="70" workbookViewId="0">
      <selection activeCell="D71" sqref="D70:D71"/>
    </sheetView>
  </sheetViews>
  <sheetFormatPr baseColWidth="10" defaultColWidth="9" defaultRowHeight="12.75"/>
  <cols>
    <col min="1" max="1" width="2.625" style="4" customWidth="1"/>
    <col min="2" max="2" width="34.875" customWidth="1"/>
    <col min="3" max="3" width="20.875" customWidth="1"/>
    <col min="4" max="4" width="17.625" customWidth="1"/>
    <col min="5" max="5" width="16" customWidth="1"/>
    <col min="6" max="6" width="2.625" customWidth="1"/>
    <col min="7" max="7" width="34.875" customWidth="1"/>
    <col min="8" max="8" width="19.625" customWidth="1"/>
    <col min="9" max="9" width="16.25" customWidth="1"/>
    <col min="10" max="10" width="17.625" customWidth="1"/>
    <col min="11" max="11" width="2.625" customWidth="1"/>
  </cols>
  <sheetData>
    <row r="1" spans="1:15" s="1" customFormat="1" ht="14.25">
      <c r="A1" s="3" t="s">
        <v>2</v>
      </c>
    </row>
    <row r="2" spans="1:15" s="1" customFormat="1" ht="71.25" customHeight="1">
      <c r="A2" s="10" t="s">
        <v>3</v>
      </c>
      <c r="B2" s="12"/>
      <c r="C2" s="13"/>
      <c r="D2" s="14"/>
      <c r="E2" s="14"/>
      <c r="F2" s="14"/>
      <c r="G2" s="14"/>
      <c r="H2" s="14"/>
      <c r="I2" s="15"/>
      <c r="J2" s="15"/>
      <c r="K2" s="12"/>
    </row>
    <row r="3" spans="1:15">
      <c r="B3" s="16"/>
      <c r="C3" s="16"/>
      <c r="D3" s="16"/>
      <c r="E3" s="16"/>
      <c r="F3" s="16"/>
      <c r="G3" s="16"/>
      <c r="H3" s="16"/>
      <c r="I3" s="16"/>
      <c r="J3" s="16"/>
      <c r="K3" s="16"/>
    </row>
    <row r="4" spans="1:15" ht="24.95" customHeight="1">
      <c r="A4" s="4" t="s">
        <v>4</v>
      </c>
      <c r="B4" s="37" t="s">
        <v>67</v>
      </c>
      <c r="C4" s="39"/>
      <c r="D4" s="6"/>
      <c r="E4" s="35" t="s">
        <v>92</v>
      </c>
      <c r="F4" s="35"/>
      <c r="G4" s="35"/>
      <c r="H4" s="36">
        <f>C7-J61</f>
        <v>0</v>
      </c>
    </row>
    <row r="5" spans="1:15" ht="24.95" customHeight="1">
      <c r="B5" s="17" t="s">
        <v>14</v>
      </c>
      <c r="C5" s="18">
        <v>0</v>
      </c>
      <c r="E5" s="35"/>
      <c r="F5" s="35"/>
      <c r="G5" s="35"/>
      <c r="H5" s="36"/>
      <c r="I5" s="7"/>
    </row>
    <row r="6" spans="1:15" ht="24.95" customHeight="1">
      <c r="B6" s="17" t="s">
        <v>69</v>
      </c>
      <c r="C6" s="18">
        <v>0</v>
      </c>
      <c r="E6" s="35" t="s">
        <v>93</v>
      </c>
      <c r="F6" s="35"/>
      <c r="G6" s="35"/>
      <c r="H6" s="36">
        <f>C12-J63</f>
        <v>0</v>
      </c>
      <c r="I6" s="7"/>
    </row>
    <row r="7" spans="1:15" ht="24.95" customHeight="1">
      <c r="A7" s="4" t="s">
        <v>5</v>
      </c>
      <c r="B7" s="17" t="s">
        <v>70</v>
      </c>
      <c r="C7" s="20">
        <f>SUM(C5:C6)</f>
        <v>0</v>
      </c>
      <c r="E7" s="35"/>
      <c r="F7" s="35"/>
      <c r="G7" s="35"/>
      <c r="H7" s="36"/>
      <c r="I7" s="7"/>
    </row>
    <row r="8" spans="1:15" ht="24.95" customHeight="1">
      <c r="B8" s="2"/>
      <c r="C8" s="2"/>
      <c r="D8" s="2"/>
      <c r="E8" s="35" t="s">
        <v>94</v>
      </c>
      <c r="F8" s="35"/>
      <c r="G8" s="35"/>
      <c r="H8" s="36">
        <f>H6-H4</f>
        <v>0</v>
      </c>
      <c r="I8" s="7"/>
    </row>
    <row r="9" spans="1:15" ht="24.95" customHeight="1">
      <c r="A9" s="4" t="s">
        <v>6</v>
      </c>
      <c r="B9" s="37" t="s">
        <v>68</v>
      </c>
      <c r="C9" s="38"/>
      <c r="D9" s="6"/>
      <c r="E9" s="35"/>
      <c r="F9" s="35"/>
      <c r="G9" s="35"/>
      <c r="H9" s="36"/>
      <c r="I9" s="8"/>
    </row>
    <row r="10" spans="1:15" ht="24.95" customHeight="1">
      <c r="B10" s="17" t="s">
        <v>99</v>
      </c>
      <c r="C10" s="18">
        <v>0</v>
      </c>
      <c r="I10" s="7"/>
    </row>
    <row r="11" spans="1:15" ht="24.95" customHeight="1">
      <c r="B11" s="17" t="s">
        <v>69</v>
      </c>
      <c r="C11" s="18">
        <v>0</v>
      </c>
      <c r="E11" s="7"/>
      <c r="H11" s="11"/>
      <c r="I11" s="11"/>
    </row>
    <row r="12" spans="1:15" ht="24.95" customHeight="1">
      <c r="B12" s="19" t="s">
        <v>70</v>
      </c>
      <c r="C12" s="20">
        <f>SUM(C10:C11)</f>
        <v>0</v>
      </c>
    </row>
    <row r="14" spans="1:15" ht="24.95" customHeight="1">
      <c r="A14" s="4" t="s">
        <v>7</v>
      </c>
      <c r="B14" s="21" t="s">
        <v>74</v>
      </c>
      <c r="C14" s="21" t="s">
        <v>76</v>
      </c>
      <c r="D14" s="21" t="s">
        <v>75</v>
      </c>
      <c r="E14" s="21" t="s">
        <v>77</v>
      </c>
      <c r="F14" s="9"/>
      <c r="G14" s="21" t="s">
        <v>44</v>
      </c>
      <c r="H14" s="21" t="s">
        <v>76</v>
      </c>
      <c r="I14" s="21" t="s">
        <v>75</v>
      </c>
      <c r="J14" s="21" t="s">
        <v>77</v>
      </c>
      <c r="O14" s="22"/>
    </row>
    <row r="15" spans="1:15" ht="25.5" customHeight="1">
      <c r="B15" s="23" t="s">
        <v>78</v>
      </c>
      <c r="C15" s="24">
        <v>0</v>
      </c>
      <c r="D15" s="24">
        <v>0</v>
      </c>
      <c r="E15" s="24">
        <f>Alojamiento1426[[#This Row],[COSTO PREVISTO]]-Alojamiento1426[[#This Row],[COSTO REAL]]</f>
        <v>0</v>
      </c>
      <c r="F15" s="9"/>
      <c r="G15" s="23" t="s">
        <v>45</v>
      </c>
      <c r="H15" s="24">
        <v>0</v>
      </c>
      <c r="I15" s="24">
        <v>0</v>
      </c>
      <c r="J15" s="24">
        <f>Entretenimiento1527[[#This Row],[COSTO PREVISTO]]-Entretenimiento1527[[#This Row],[COSTO REAL]]</f>
        <v>0</v>
      </c>
    </row>
    <row r="16" spans="1:15" ht="24.95" customHeight="1">
      <c r="B16" s="23" t="s">
        <v>61</v>
      </c>
      <c r="C16" s="24">
        <v>0</v>
      </c>
      <c r="D16" s="24">
        <v>0</v>
      </c>
      <c r="E16" s="24">
        <f>Alojamiento1426[[#This Row],[COSTO PREVISTO]]-Alojamiento1426[[#This Row],[COSTO REAL]]</f>
        <v>0</v>
      </c>
      <c r="F16" s="9"/>
      <c r="G16" s="23" t="s">
        <v>46</v>
      </c>
      <c r="H16" s="24">
        <v>0</v>
      </c>
      <c r="I16" s="24">
        <v>0</v>
      </c>
      <c r="J16" s="24">
        <f>Entretenimiento1527[[#This Row],[COSTO PREVISTO]]-Entretenimiento1527[[#This Row],[COSTO REAL]]</f>
        <v>0</v>
      </c>
    </row>
    <row r="17" spans="1:10" ht="24.95" customHeight="1">
      <c r="B17" s="23" t="s">
        <v>15</v>
      </c>
      <c r="C17" s="24">
        <v>0</v>
      </c>
      <c r="D17" s="24">
        <v>0</v>
      </c>
      <c r="E17" s="24">
        <f>Alojamiento1426[[#This Row],[COSTO PREVISTO]]-Alojamiento1426[[#This Row],[COSTO REAL]]</f>
        <v>0</v>
      </c>
      <c r="F17" s="9"/>
      <c r="G17" s="23" t="s">
        <v>47</v>
      </c>
      <c r="H17" s="24">
        <v>0</v>
      </c>
      <c r="I17" s="24">
        <v>0</v>
      </c>
      <c r="J17" s="24">
        <f>Entretenimiento1527[[#This Row],[COSTO PREVISTO]]-Entretenimiento1527[[#This Row],[COSTO REAL]]</f>
        <v>0</v>
      </c>
    </row>
    <row r="18" spans="1:10" ht="24.95" customHeight="1">
      <c r="B18" s="23" t="s">
        <v>16</v>
      </c>
      <c r="C18" s="24">
        <v>0</v>
      </c>
      <c r="D18" s="24">
        <v>0</v>
      </c>
      <c r="E18" s="24">
        <f>Alojamiento1426[[#This Row],[COSTO PREVISTO]]-Alojamiento1426[[#This Row],[COSTO REAL]]</f>
        <v>0</v>
      </c>
      <c r="F18" s="9"/>
      <c r="G18" s="23" t="s">
        <v>48</v>
      </c>
      <c r="H18" s="24">
        <v>0</v>
      </c>
      <c r="I18" s="24">
        <v>0</v>
      </c>
      <c r="J18" s="24">
        <f>Entretenimiento1527[[#This Row],[COSTO PREVISTO]]-Entretenimiento1527[[#This Row],[COSTO REAL]]</f>
        <v>0</v>
      </c>
    </row>
    <row r="19" spans="1:10" ht="24.95" customHeight="1">
      <c r="B19" s="23" t="s">
        <v>71</v>
      </c>
      <c r="C19" s="24">
        <v>0</v>
      </c>
      <c r="D19" s="24">
        <v>0</v>
      </c>
      <c r="E19" s="24">
        <f>Alojamiento1426[[#This Row],[COSTO PREVISTO]]-Alojamiento1426[[#This Row],[COSTO REAL]]</f>
        <v>0</v>
      </c>
      <c r="F19" s="9"/>
      <c r="G19" s="23" t="s">
        <v>82</v>
      </c>
      <c r="H19" s="24">
        <v>0</v>
      </c>
      <c r="I19" s="24">
        <v>0</v>
      </c>
      <c r="J19" s="24">
        <f>Entretenimiento1527[[#This Row],[COSTO PREVISTO]]-Entretenimiento1527[[#This Row],[COSTO REAL]]</f>
        <v>0</v>
      </c>
    </row>
    <row r="20" spans="1:10" ht="24.95" customHeight="1">
      <c r="B20" s="23" t="s">
        <v>72</v>
      </c>
      <c r="C20" s="24">
        <v>0</v>
      </c>
      <c r="D20" s="24">
        <v>0</v>
      </c>
      <c r="E20" s="24">
        <f>Alojamiento1426[[#This Row],[COSTO PREVISTO]]-Alojamiento1426[[#This Row],[COSTO REAL]]</f>
        <v>0</v>
      </c>
      <c r="F20" s="9"/>
      <c r="G20" s="23" t="s">
        <v>49</v>
      </c>
      <c r="H20" s="24">
        <v>0</v>
      </c>
      <c r="I20" s="24">
        <v>0</v>
      </c>
      <c r="J20" s="24">
        <f>Entretenimiento1527[[#This Row],[COSTO PREVISTO]]-Entretenimiento1527[[#This Row],[COSTO REAL]]</f>
        <v>0</v>
      </c>
    </row>
    <row r="21" spans="1:10" ht="24.95" customHeight="1">
      <c r="B21" s="23" t="s">
        <v>81</v>
      </c>
      <c r="C21" s="24">
        <v>0</v>
      </c>
      <c r="D21" s="24">
        <v>0</v>
      </c>
      <c r="E21" s="24">
        <f>Alojamiento1426[[#This Row],[COSTO PREVISTO]]-Alojamiento1426[[#This Row],[COSTO REAL]]</f>
        <v>0</v>
      </c>
      <c r="F21" s="9"/>
      <c r="G21" s="23" t="s">
        <v>18</v>
      </c>
      <c r="H21" s="24">
        <v>0</v>
      </c>
      <c r="I21" s="24">
        <v>0</v>
      </c>
      <c r="J21" s="24">
        <f>Entretenimiento1527[[#This Row],[COSTO PREVISTO]]-Entretenimiento1527[[#This Row],[COSTO REAL]]</f>
        <v>0</v>
      </c>
    </row>
    <row r="22" spans="1:10" ht="24.95" customHeight="1">
      <c r="B22" s="23" t="s">
        <v>73</v>
      </c>
      <c r="C22" s="24">
        <v>0</v>
      </c>
      <c r="D22" s="24">
        <v>0</v>
      </c>
      <c r="E22" s="24">
        <f>Alojamiento1426[[#This Row],[COSTO PREVISTO]]-Alojamiento1426[[#This Row],[COSTO REAL]]</f>
        <v>0</v>
      </c>
      <c r="F22" s="9"/>
      <c r="G22" s="23" t="s">
        <v>18</v>
      </c>
      <c r="H22" s="24">
        <v>0</v>
      </c>
      <c r="I22" s="24">
        <v>0</v>
      </c>
      <c r="J22" s="24">
        <f>Entretenimiento1527[[#This Row],[COSTO PREVISTO]]-Entretenimiento1527[[#This Row],[COSTO REAL]]</f>
        <v>0</v>
      </c>
    </row>
    <row r="23" spans="1:10" ht="24.95" customHeight="1">
      <c r="B23" s="23" t="s">
        <v>17</v>
      </c>
      <c r="C23" s="24">
        <v>0</v>
      </c>
      <c r="D23" s="24">
        <v>0</v>
      </c>
      <c r="E23" s="24">
        <f>Alojamiento1426[[#This Row],[COSTO PREVISTO]]-Alojamiento1426[[#This Row],[COSTO REAL]]</f>
        <v>0</v>
      </c>
      <c r="F23" s="9"/>
      <c r="G23" s="23" t="s">
        <v>18</v>
      </c>
      <c r="H23" s="24">
        <v>0</v>
      </c>
      <c r="I23" s="24">
        <v>0</v>
      </c>
      <c r="J23" s="24">
        <f>Entretenimiento1527[[#This Row],[COSTO PREVISTO]]-Entretenimiento1527[[#This Row],[COSTO REAL]]</f>
        <v>0</v>
      </c>
    </row>
    <row r="24" spans="1:10" ht="24.95" customHeight="1">
      <c r="B24" s="23" t="s">
        <v>18</v>
      </c>
      <c r="C24" s="24">
        <v>0</v>
      </c>
      <c r="D24" s="24">
        <v>0</v>
      </c>
      <c r="E24" s="24">
        <f>Alojamiento1426[[#This Row],[COSTO PREVISTO]]-Alojamiento1426[[#This Row],[COSTO REAL]]</f>
        <v>0</v>
      </c>
      <c r="F24" s="9"/>
      <c r="G24" s="25" t="s">
        <v>19</v>
      </c>
      <c r="H24" s="27" t="s">
        <v>66</v>
      </c>
      <c r="I24" s="27" t="s">
        <v>66</v>
      </c>
      <c r="J24" s="26">
        <f>SUBTOTAL(109,Entretenimiento1527[DIFERENCIA])</f>
        <v>0</v>
      </c>
    </row>
    <row r="25" spans="1:10" ht="24.95" customHeight="1">
      <c r="B25" s="25" t="s">
        <v>19</v>
      </c>
      <c r="C25" s="26">
        <f>SUBTOTAL(109,Alojamiento1426[COSTO PREVISTO])</f>
        <v>0</v>
      </c>
      <c r="D25" s="26">
        <f>SUBTOTAL(109,Alojamiento1426[COSTO REAL])</f>
        <v>0</v>
      </c>
      <c r="E25" s="26">
        <f>SUBTOTAL(109,Alojamiento1426[DIFERENCIA])</f>
        <v>0</v>
      </c>
      <c r="F25" s="9"/>
      <c r="G25" s="41"/>
      <c r="H25" s="41"/>
      <c r="I25" s="41"/>
      <c r="J25" s="41"/>
    </row>
    <row r="26" spans="1:10" ht="24.95" customHeight="1">
      <c r="B26" s="41"/>
      <c r="C26" s="41"/>
      <c r="D26" s="41"/>
      <c r="E26" s="41"/>
      <c r="F26" s="9"/>
      <c r="G26" s="21" t="s">
        <v>50</v>
      </c>
      <c r="H26" s="21" t="s">
        <v>76</v>
      </c>
      <c r="I26" s="21" t="s">
        <v>75</v>
      </c>
      <c r="J26" s="21" t="s">
        <v>77</v>
      </c>
    </row>
    <row r="27" spans="1:10" ht="24.95" customHeight="1">
      <c r="A27" s="4" t="s">
        <v>8</v>
      </c>
      <c r="B27" s="21" t="s">
        <v>20</v>
      </c>
      <c r="C27" s="21" t="s">
        <v>40</v>
      </c>
      <c r="D27" s="21" t="s">
        <v>41</v>
      </c>
      <c r="E27" s="21" t="s">
        <v>43</v>
      </c>
      <c r="F27" s="9"/>
      <c r="G27" s="23" t="s">
        <v>51</v>
      </c>
      <c r="H27" s="24">
        <v>0</v>
      </c>
      <c r="I27" s="24">
        <v>0</v>
      </c>
      <c r="J27" s="24">
        <f>Prestamos1628[[#This Row],[COSTO PREVISTO]]-Prestamos1628[[#This Row],[COSTO REAL]]</f>
        <v>0</v>
      </c>
    </row>
    <row r="28" spans="1:10" ht="24.95" customHeight="1">
      <c r="B28" s="23" t="s">
        <v>62</v>
      </c>
      <c r="C28" s="24">
        <v>0</v>
      </c>
      <c r="D28" s="24">
        <v>0</v>
      </c>
      <c r="E28" s="24">
        <f>Transporte1729[[#This Row],[Costo previsto]]-Transporte1729[[#This Row],[Costo real]]</f>
        <v>0</v>
      </c>
      <c r="F28" s="9"/>
      <c r="G28" s="23" t="s">
        <v>52</v>
      </c>
      <c r="H28" s="24">
        <v>0</v>
      </c>
      <c r="I28" s="24">
        <v>0</v>
      </c>
      <c r="J28" s="24">
        <f>Prestamos1628[[#This Row],[COSTO PREVISTO]]-Prestamos1628[[#This Row],[COSTO REAL]]</f>
        <v>0</v>
      </c>
    </row>
    <row r="29" spans="1:10" ht="24.95" customHeight="1">
      <c r="B29" s="23" t="s">
        <v>83</v>
      </c>
      <c r="C29" s="24">
        <v>0</v>
      </c>
      <c r="D29" s="24">
        <v>0</v>
      </c>
      <c r="E29" s="24">
        <f>Transporte1729[[#This Row],[Costo previsto]]-Transporte1729[[#This Row],[Costo real]]</f>
        <v>0</v>
      </c>
      <c r="F29" s="9"/>
      <c r="G29" s="23" t="s">
        <v>53</v>
      </c>
      <c r="H29" s="24">
        <v>0</v>
      </c>
      <c r="I29" s="24">
        <v>0</v>
      </c>
      <c r="J29" s="24">
        <f>Prestamos1628[[#This Row],[COSTO PREVISTO]]-Prestamos1628[[#This Row],[COSTO REAL]]</f>
        <v>0</v>
      </c>
    </row>
    <row r="30" spans="1:10" ht="24.95" customHeight="1">
      <c r="B30" s="23" t="s">
        <v>21</v>
      </c>
      <c r="C30" s="24">
        <v>0</v>
      </c>
      <c r="D30" s="24">
        <v>0</v>
      </c>
      <c r="E30" s="24">
        <f>Transporte1729[[#This Row],[Costo previsto]]-Transporte1729[[#This Row],[Costo real]]</f>
        <v>0</v>
      </c>
      <c r="F30" s="9"/>
      <c r="G30" s="23" t="s">
        <v>53</v>
      </c>
      <c r="H30" s="24">
        <v>0</v>
      </c>
      <c r="I30" s="24">
        <v>0</v>
      </c>
      <c r="J30" s="24">
        <f>Prestamos1628[[#This Row],[COSTO PREVISTO]]-Prestamos1628[[#This Row],[COSTO REAL]]</f>
        <v>0</v>
      </c>
    </row>
    <row r="31" spans="1:10" ht="24.95" customHeight="1">
      <c r="B31" s="23" t="s">
        <v>22</v>
      </c>
      <c r="C31" s="24">
        <v>0</v>
      </c>
      <c r="D31" s="24">
        <v>0</v>
      </c>
      <c r="E31" s="24">
        <f>Transporte1729[[#This Row],[Costo previsto]]-Transporte1729[[#This Row],[Costo real]]</f>
        <v>0</v>
      </c>
      <c r="F31" s="9"/>
      <c r="G31" s="23" t="s">
        <v>53</v>
      </c>
      <c r="H31" s="24">
        <v>0</v>
      </c>
      <c r="I31" s="24">
        <v>0</v>
      </c>
      <c r="J31" s="24">
        <f>Prestamos1628[[#This Row],[COSTO PREVISTO]]-Prestamos1628[[#This Row],[COSTO REAL]]</f>
        <v>0</v>
      </c>
    </row>
    <row r="32" spans="1:10" ht="24.95" customHeight="1">
      <c r="B32" s="23" t="s">
        <v>23</v>
      </c>
      <c r="C32" s="24">
        <v>0</v>
      </c>
      <c r="D32" s="24">
        <v>0</v>
      </c>
      <c r="E32" s="24">
        <f>Transporte1729[[#This Row],[Costo previsto]]-Transporte1729[[#This Row],[Costo real]]</f>
        <v>0</v>
      </c>
      <c r="F32" s="9"/>
      <c r="G32" s="23" t="s">
        <v>18</v>
      </c>
      <c r="H32" s="24">
        <v>0</v>
      </c>
      <c r="I32" s="24">
        <v>0</v>
      </c>
      <c r="J32" s="24">
        <f>Prestamos1628[[#This Row],[COSTO PREVISTO]]-Prestamos1628[[#This Row],[COSTO REAL]]</f>
        <v>0</v>
      </c>
    </row>
    <row r="33" spans="1:10" ht="24.95" customHeight="1">
      <c r="B33" s="23" t="s">
        <v>24</v>
      </c>
      <c r="C33" s="24">
        <v>0</v>
      </c>
      <c r="D33" s="24">
        <v>0</v>
      </c>
      <c r="E33" s="24">
        <f>Transporte1729[[#This Row],[Costo previsto]]-Transporte1729[[#This Row],[Costo real]]</f>
        <v>0</v>
      </c>
      <c r="F33" s="9"/>
      <c r="G33" s="25" t="s">
        <v>19</v>
      </c>
      <c r="H33" s="27" t="s">
        <v>66</v>
      </c>
      <c r="I33" s="27" t="s">
        <v>66</v>
      </c>
      <c r="J33" s="26">
        <f>SUBTOTAL(109,Prestamos1628[DIFERENCIA])</f>
        <v>0</v>
      </c>
    </row>
    <row r="34" spans="1:10" ht="24.95" customHeight="1">
      <c r="B34" s="23" t="s">
        <v>64</v>
      </c>
      <c r="C34" s="24">
        <v>0</v>
      </c>
      <c r="D34" s="24">
        <v>0</v>
      </c>
      <c r="E34" s="24">
        <f>Transporte1729[[#This Row],[Costo previsto]]-Transporte1729[[#This Row],[Costo real]]</f>
        <v>0</v>
      </c>
      <c r="F34" s="9"/>
      <c r="G34" s="41"/>
      <c r="H34" s="41"/>
      <c r="I34" s="41"/>
      <c r="J34" s="41"/>
    </row>
    <row r="35" spans="1:10" ht="24.95" customHeight="1">
      <c r="B35" s="25" t="s">
        <v>19</v>
      </c>
      <c r="C35" s="26">
        <f>SUBTOTAL(109,Transporte1729[Costo previsto])</f>
        <v>0</v>
      </c>
      <c r="D35" s="26">
        <f>SUBTOTAL(109,Transporte1729[Costo real])</f>
        <v>0</v>
      </c>
      <c r="E35" s="26">
        <f>SUBTOTAL(109,Transporte1729[Diferencia])</f>
        <v>0</v>
      </c>
      <c r="F35" s="9"/>
      <c r="G35" s="21" t="s">
        <v>54</v>
      </c>
      <c r="H35" s="21" t="s">
        <v>76</v>
      </c>
      <c r="I35" s="21" t="s">
        <v>75</v>
      </c>
      <c r="J35" s="21" t="s">
        <v>77</v>
      </c>
    </row>
    <row r="36" spans="1:10" ht="24.95" customHeight="1">
      <c r="B36" s="41"/>
      <c r="C36" s="41"/>
      <c r="D36" s="41"/>
      <c r="E36" s="41"/>
      <c r="F36" s="9"/>
      <c r="G36" s="23" t="s">
        <v>55</v>
      </c>
      <c r="H36" s="24">
        <v>0</v>
      </c>
      <c r="I36" s="24">
        <v>0</v>
      </c>
      <c r="J36" s="24">
        <f>Impuestos1931[[#This Row],[COSTO PREVISTO]]-Impuestos1931[[#This Row],[COSTO REAL]]</f>
        <v>0</v>
      </c>
    </row>
    <row r="37" spans="1:10" ht="24.95" customHeight="1">
      <c r="A37" s="4" t="s">
        <v>9</v>
      </c>
      <c r="B37" s="21" t="s">
        <v>25</v>
      </c>
      <c r="C37" s="21" t="s">
        <v>76</v>
      </c>
      <c r="D37" s="21" t="s">
        <v>75</v>
      </c>
      <c r="E37" s="21" t="s">
        <v>77</v>
      </c>
      <c r="F37" s="9"/>
      <c r="G37" s="23" t="s">
        <v>56</v>
      </c>
      <c r="H37" s="24">
        <v>0</v>
      </c>
      <c r="I37" s="24">
        <v>0</v>
      </c>
      <c r="J37" s="24">
        <f>Impuestos1931[[#This Row],[COSTO PREVISTO]]-Impuestos1931[[#This Row],[COSTO REAL]]</f>
        <v>0</v>
      </c>
    </row>
    <row r="38" spans="1:10" ht="24.95" customHeight="1">
      <c r="B38" s="23" t="s">
        <v>26</v>
      </c>
      <c r="C38" s="24">
        <v>0</v>
      </c>
      <c r="D38" s="24">
        <v>0</v>
      </c>
      <c r="E38" s="24">
        <f>Seguro1830[[#This Row],[COSTO PREVISTO]]-Seguro1830[[#This Row],[COSTO REAL]]</f>
        <v>0</v>
      </c>
      <c r="F38" s="9"/>
      <c r="G38" s="23" t="s">
        <v>57</v>
      </c>
      <c r="H38" s="24">
        <v>0</v>
      </c>
      <c r="I38" s="24">
        <v>0</v>
      </c>
      <c r="J38" s="24">
        <f>Impuestos1931[[#This Row],[COSTO PREVISTO]]-Impuestos1931[[#This Row],[COSTO REAL]]</f>
        <v>0</v>
      </c>
    </row>
    <row r="39" spans="1:10" ht="24.95" customHeight="1">
      <c r="B39" s="23" t="s">
        <v>98</v>
      </c>
      <c r="C39" s="24">
        <v>0</v>
      </c>
      <c r="D39" s="24">
        <v>0</v>
      </c>
      <c r="E39" s="24">
        <f>Seguro1830[[#This Row],[COSTO PREVISTO]]-Seguro1830[[#This Row],[COSTO REAL]]</f>
        <v>0</v>
      </c>
      <c r="F39" s="9"/>
      <c r="G39" s="23" t="s">
        <v>18</v>
      </c>
      <c r="H39" s="24">
        <v>0</v>
      </c>
      <c r="I39" s="24">
        <v>0</v>
      </c>
      <c r="J39" s="24">
        <f>Impuestos1931[[#This Row],[COSTO PREVISTO]]-Impuestos1931[[#This Row],[COSTO REAL]]</f>
        <v>0</v>
      </c>
    </row>
    <row r="40" spans="1:10" ht="24.95" customHeight="1">
      <c r="B40" s="23" t="s">
        <v>27</v>
      </c>
      <c r="C40" s="24">
        <v>0</v>
      </c>
      <c r="D40" s="24">
        <v>0</v>
      </c>
      <c r="E40" s="24">
        <f>Seguro1830[[#This Row],[COSTO PREVISTO]]-Seguro1830[[#This Row],[COSTO REAL]]</f>
        <v>0</v>
      </c>
      <c r="F40" s="9"/>
      <c r="G40" s="25" t="s">
        <v>19</v>
      </c>
      <c r="H40" s="27" t="s">
        <v>66</v>
      </c>
      <c r="I40" s="27" t="s">
        <v>66</v>
      </c>
      <c r="J40" s="26">
        <f>SUBTOTAL(109,Impuestos1931[DIFERENCIA])</f>
        <v>0</v>
      </c>
    </row>
    <row r="41" spans="1:10" ht="24.95" customHeight="1">
      <c r="B41" s="23" t="s">
        <v>18</v>
      </c>
      <c r="C41" s="24">
        <v>0</v>
      </c>
      <c r="D41" s="24">
        <v>0</v>
      </c>
      <c r="E41" s="24">
        <f>Seguro1830[[#This Row],[COSTO PREVISTO]]-Seguro1830[[#This Row],[COSTO REAL]]</f>
        <v>0</v>
      </c>
      <c r="F41" s="9"/>
      <c r="G41" s="41"/>
      <c r="H41" s="41"/>
      <c r="I41" s="41"/>
      <c r="J41" s="41"/>
    </row>
    <row r="42" spans="1:10" ht="24.95" customHeight="1">
      <c r="B42" s="25" t="s">
        <v>19</v>
      </c>
      <c r="C42" s="26">
        <f>SUBTOTAL(109,Seguro1830[COSTO PREVISTO])</f>
        <v>0</v>
      </c>
      <c r="D42" s="26">
        <f>SUBTOTAL(109,Seguro1830[COSTO REAL])</f>
        <v>0</v>
      </c>
      <c r="E42" s="26">
        <f>SUBTOTAL(109,Seguro1830[DIFERENCIA])</f>
        <v>0</v>
      </c>
      <c r="F42" s="9"/>
      <c r="G42" s="21" t="s">
        <v>58</v>
      </c>
      <c r="H42" s="21" t="s">
        <v>76</v>
      </c>
      <c r="I42" s="21" t="s">
        <v>75</v>
      </c>
      <c r="J42" s="21" t="s">
        <v>77</v>
      </c>
    </row>
    <row r="43" spans="1:10" ht="24.95" customHeight="1">
      <c r="B43" s="41"/>
      <c r="C43" s="41"/>
      <c r="D43" s="41"/>
      <c r="E43" s="41"/>
      <c r="F43" s="9"/>
      <c r="G43" s="23" t="s">
        <v>96</v>
      </c>
      <c r="H43" s="24">
        <v>0</v>
      </c>
      <c r="I43" s="24">
        <v>0</v>
      </c>
      <c r="J43" s="24">
        <f>Ahorros2032[[#This Row],[COSTO PREVISTO]]-Ahorros2032[[#This Row],[COSTO REAL]]</f>
        <v>0</v>
      </c>
    </row>
    <row r="44" spans="1:10" ht="24.95" customHeight="1">
      <c r="A44" s="4" t="s">
        <v>10</v>
      </c>
      <c r="B44" s="21" t="s">
        <v>28</v>
      </c>
      <c r="C44" s="21" t="s">
        <v>76</v>
      </c>
      <c r="D44" s="21" t="s">
        <v>75</v>
      </c>
      <c r="E44" s="21" t="s">
        <v>77</v>
      </c>
      <c r="F44" s="9"/>
      <c r="G44" s="23" t="s">
        <v>97</v>
      </c>
      <c r="H44" s="24">
        <v>0</v>
      </c>
      <c r="I44" s="24">
        <v>0</v>
      </c>
      <c r="J44" s="24">
        <f>Ahorros2032[[#This Row],[COSTO PREVISTO]]-Ahorros2032[[#This Row],[COSTO REAL]]</f>
        <v>0</v>
      </c>
    </row>
    <row r="45" spans="1:10" ht="24.95" customHeight="1">
      <c r="B45" s="23" t="s">
        <v>29</v>
      </c>
      <c r="C45" s="24">
        <v>0</v>
      </c>
      <c r="D45" s="24">
        <v>0</v>
      </c>
      <c r="E45" s="24">
        <f>Comida2133[[#This Row],[COSTO PREVISTO]]-Comida2133[[#This Row],[COSTO REAL]]</f>
        <v>0</v>
      </c>
      <c r="F45" s="9"/>
      <c r="G45" s="23" t="s">
        <v>18</v>
      </c>
      <c r="H45" s="24">
        <v>0</v>
      </c>
      <c r="I45" s="24">
        <v>0</v>
      </c>
      <c r="J45" s="24">
        <f>Ahorros2032[[#This Row],[COSTO PREVISTO]]-Ahorros2032[[#This Row],[COSTO REAL]]</f>
        <v>0</v>
      </c>
    </row>
    <row r="46" spans="1:10" ht="24.95" customHeight="1">
      <c r="B46" s="23" t="s">
        <v>30</v>
      </c>
      <c r="C46" s="24">
        <v>0</v>
      </c>
      <c r="D46" s="24">
        <v>0</v>
      </c>
      <c r="E46" s="24">
        <f>Comida2133[[#This Row],[COSTO PREVISTO]]-Comida2133[[#This Row],[COSTO REAL]]</f>
        <v>0</v>
      </c>
      <c r="F46" s="9"/>
      <c r="G46" s="25" t="s">
        <v>19</v>
      </c>
      <c r="H46" s="27" t="s">
        <v>66</v>
      </c>
      <c r="I46" s="27" t="s">
        <v>66</v>
      </c>
      <c r="J46" s="26">
        <f>SUBTOTAL(109,Ahorros2032[DIFERENCIA])</f>
        <v>0</v>
      </c>
    </row>
    <row r="47" spans="1:10" ht="24.95" customHeight="1">
      <c r="B47" s="23" t="s">
        <v>65</v>
      </c>
      <c r="C47" s="24">
        <v>0</v>
      </c>
      <c r="D47" s="24">
        <v>0</v>
      </c>
      <c r="E47" s="24">
        <f>Comida2133[[#This Row],[COSTO PREVISTO]]-Comida2133[[#This Row],[COSTO REAL]]</f>
        <v>0</v>
      </c>
      <c r="F47" s="9"/>
      <c r="G47" s="41"/>
      <c r="H47" s="41"/>
      <c r="I47" s="41"/>
      <c r="J47" s="41"/>
    </row>
    <row r="48" spans="1:10" ht="24.95" customHeight="1">
      <c r="B48" s="25" t="s">
        <v>19</v>
      </c>
      <c r="C48" s="26">
        <f>SUBTOTAL(109,Comida2133[COSTO PREVISTO])</f>
        <v>0</v>
      </c>
      <c r="D48" s="26">
        <f>SUBTOTAL(109,Comida2133[COSTO REAL])</f>
        <v>0</v>
      </c>
      <c r="E48" s="26">
        <f>SUBTOTAL(109,Comida2133[DIFERENCIA])</f>
        <v>0</v>
      </c>
      <c r="F48" s="9"/>
      <c r="G48" s="21" t="s">
        <v>79</v>
      </c>
      <c r="H48" s="21" t="s">
        <v>76</v>
      </c>
      <c r="I48" s="21" t="s">
        <v>80</v>
      </c>
      <c r="J48" s="21" t="s">
        <v>77</v>
      </c>
    </row>
    <row r="49" spans="1:10" ht="24.95" customHeight="1">
      <c r="B49" s="41"/>
      <c r="C49" s="41"/>
      <c r="D49" s="41"/>
      <c r="E49" s="41"/>
      <c r="F49" s="9"/>
      <c r="G49" s="23" t="s">
        <v>85</v>
      </c>
      <c r="H49" s="24">
        <v>0</v>
      </c>
      <c r="I49" s="24">
        <v>0</v>
      </c>
      <c r="J49" s="24">
        <f>Regalos2234[[#This Row],[COSTO PREVISTO]]-Regalos2234[[#This Row],[COSTO REAL ]]</f>
        <v>0</v>
      </c>
    </row>
    <row r="50" spans="1:10" ht="24.95" customHeight="1">
      <c r="A50" s="4" t="s">
        <v>11</v>
      </c>
      <c r="B50" s="21" t="s">
        <v>31</v>
      </c>
      <c r="C50" s="21" t="s">
        <v>76</v>
      </c>
      <c r="D50" s="21" t="s">
        <v>75</v>
      </c>
      <c r="E50" s="21" t="s">
        <v>77</v>
      </c>
      <c r="F50" s="9"/>
      <c r="G50" s="23" t="s">
        <v>84</v>
      </c>
      <c r="H50" s="24">
        <v>0</v>
      </c>
      <c r="I50" s="24">
        <v>0</v>
      </c>
      <c r="J50" s="24">
        <f>Regalos2234[[#This Row],[COSTO PREVISTO]]-Regalos2234[[#This Row],[COSTO REAL ]]</f>
        <v>0</v>
      </c>
    </row>
    <row r="51" spans="1:10" ht="24.95" customHeight="1">
      <c r="B51" s="23" t="s">
        <v>32</v>
      </c>
      <c r="C51" s="24">
        <v>0</v>
      </c>
      <c r="D51" s="24">
        <v>0</v>
      </c>
      <c r="E51" s="24">
        <f>Mascotas2335[[#This Row],[COSTO PREVISTO]]-Mascotas2335[[#This Row],[COSTO REAL]]</f>
        <v>0</v>
      </c>
      <c r="F51" s="9"/>
      <c r="G51" s="23" t="s">
        <v>63</v>
      </c>
      <c r="H51" s="24">
        <v>0</v>
      </c>
      <c r="I51" s="24">
        <v>0</v>
      </c>
      <c r="J51" s="24">
        <f>Regalos2234[[#This Row],[COSTO PREVISTO]]-Regalos2234[[#This Row],[COSTO REAL ]]</f>
        <v>0</v>
      </c>
    </row>
    <row r="52" spans="1:10" ht="24.95" customHeight="1">
      <c r="B52" s="23" t="s">
        <v>33</v>
      </c>
      <c r="C52" s="24">
        <v>0</v>
      </c>
      <c r="D52" s="24">
        <v>0</v>
      </c>
      <c r="E52" s="24">
        <f>Mascotas2335[[#This Row],[COSTO PREVISTO]]-Mascotas2335[[#This Row],[COSTO REAL]]</f>
        <v>0</v>
      </c>
      <c r="F52" s="9"/>
      <c r="G52" s="25" t="s">
        <v>19</v>
      </c>
      <c r="H52" s="27">
        <f>SUBTOTAL(109,Regalos2234[COSTO PREVISTO])</f>
        <v>0</v>
      </c>
      <c r="I52" s="27" t="s">
        <v>66</v>
      </c>
      <c r="J52" s="26">
        <f>SUBTOTAL(109,Regalos2234[DIFERENCIA])</f>
        <v>0</v>
      </c>
    </row>
    <row r="53" spans="1:10" ht="24.95" customHeight="1">
      <c r="B53" s="23" t="s">
        <v>34</v>
      </c>
      <c r="C53" s="24">
        <v>0</v>
      </c>
      <c r="D53" s="24">
        <v>0</v>
      </c>
      <c r="E53" s="24">
        <f>Mascotas2335[[#This Row],[COSTO PREVISTO]]-Mascotas2335[[#This Row],[COSTO REAL]]</f>
        <v>0</v>
      </c>
      <c r="F53" s="9"/>
      <c r="G53" s="41"/>
      <c r="H53" s="41"/>
      <c r="I53" s="41"/>
      <c r="J53" s="41"/>
    </row>
    <row r="54" spans="1:10" ht="24.95" customHeight="1">
      <c r="B54" s="23" t="s">
        <v>35</v>
      </c>
      <c r="C54" s="24">
        <v>0</v>
      </c>
      <c r="D54" s="24">
        <v>0</v>
      </c>
      <c r="E54" s="24">
        <f>Mascotas2335[[#This Row],[COSTO PREVISTO]]-Mascotas2335[[#This Row],[COSTO REAL]]</f>
        <v>0</v>
      </c>
      <c r="F54" s="9"/>
      <c r="G54" s="21" t="s">
        <v>59</v>
      </c>
      <c r="H54" s="21" t="s">
        <v>76</v>
      </c>
      <c r="I54" s="21" t="s">
        <v>75</v>
      </c>
      <c r="J54" s="21" t="s">
        <v>77</v>
      </c>
    </row>
    <row r="55" spans="1:10" ht="24.95" customHeight="1">
      <c r="B55" s="23" t="s">
        <v>18</v>
      </c>
      <c r="C55" s="24">
        <v>0</v>
      </c>
      <c r="D55" s="24">
        <v>0</v>
      </c>
      <c r="E55" s="24">
        <f>Mascotas2335[[#This Row],[COSTO PREVISTO]]-Mascotas2335[[#This Row],[COSTO REAL]]</f>
        <v>0</v>
      </c>
      <c r="F55" s="9"/>
      <c r="G55" s="23" t="s">
        <v>60</v>
      </c>
      <c r="H55" s="24">
        <v>0</v>
      </c>
      <c r="I55" s="24">
        <v>0</v>
      </c>
      <c r="J55" s="24">
        <f>Legal2436[[#This Row],[COSTO PREVISTO]]-Legal2436[[#This Row],[COSTO REAL]]</f>
        <v>0</v>
      </c>
    </row>
    <row r="56" spans="1:10" ht="24.95" customHeight="1">
      <c r="B56" s="25" t="s">
        <v>19</v>
      </c>
      <c r="C56" s="26">
        <f>SUBTOTAL(109,Mascotas2335[COSTO PREVISTO])</f>
        <v>0</v>
      </c>
      <c r="D56" s="26">
        <f>SUBTOTAL(109,Mascotas2335[COSTO REAL])</f>
        <v>0</v>
      </c>
      <c r="E56" s="26">
        <f>SUBTOTAL(109,Mascotas2335[DIFERENCIA])</f>
        <v>0</v>
      </c>
      <c r="F56" s="9"/>
      <c r="G56" s="23" t="s">
        <v>86</v>
      </c>
      <c r="H56" s="24">
        <v>0</v>
      </c>
      <c r="I56" s="24">
        <v>0</v>
      </c>
      <c r="J56" s="24">
        <f>Legal2436[[#This Row],[COSTO PREVISTO]]-Legal2436[[#This Row],[COSTO REAL]]</f>
        <v>0</v>
      </c>
    </row>
    <row r="57" spans="1:10" ht="24.95" customHeight="1">
      <c r="B57" s="41"/>
      <c r="C57" s="41"/>
      <c r="D57" s="41"/>
      <c r="E57" s="41"/>
      <c r="F57" s="9"/>
      <c r="G57" s="23" t="s">
        <v>87</v>
      </c>
      <c r="H57" s="24">
        <v>0</v>
      </c>
      <c r="I57" s="24">
        <v>0</v>
      </c>
      <c r="J57" s="24">
        <f>Legal2436[[#This Row],[COSTO PREVISTO]]-Legal2436[[#This Row],[COSTO REAL]]</f>
        <v>0</v>
      </c>
    </row>
    <row r="58" spans="1:10" ht="24.95" customHeight="1">
      <c r="A58" s="4" t="s">
        <v>12</v>
      </c>
      <c r="B58" s="21" t="s">
        <v>36</v>
      </c>
      <c r="C58" s="21" t="s">
        <v>40</v>
      </c>
      <c r="D58" s="21" t="s">
        <v>42</v>
      </c>
      <c r="E58" s="21" t="s">
        <v>43</v>
      </c>
      <c r="F58" s="9"/>
      <c r="G58" s="23" t="s">
        <v>18</v>
      </c>
      <c r="H58" s="24">
        <v>0</v>
      </c>
      <c r="I58" s="24">
        <v>0</v>
      </c>
      <c r="J58" s="24">
        <f>Legal2436[[#This Row],[COSTO PREVISTO]]-Legal2436[[#This Row],[COSTO REAL]]</f>
        <v>0</v>
      </c>
    </row>
    <row r="59" spans="1:10" ht="24.95" customHeight="1">
      <c r="B59" s="23" t="s">
        <v>33</v>
      </c>
      <c r="C59" s="24">
        <v>0</v>
      </c>
      <c r="D59" s="24">
        <v>0</v>
      </c>
      <c r="E59" s="24">
        <f>CuidadoPersonal2537[[#This Row],[Costo previsto]]-CuidadoPersonal2537[[#This Row],[Coste real]]</f>
        <v>0</v>
      </c>
      <c r="F59" s="9"/>
      <c r="G59" s="25" t="s">
        <v>19</v>
      </c>
      <c r="H59" s="27" t="s">
        <v>66</v>
      </c>
      <c r="I59" s="27" t="s">
        <v>66</v>
      </c>
      <c r="J59" s="26">
        <f>SUBTOTAL(109,Legal2436[DIFERENCIA])</f>
        <v>0</v>
      </c>
    </row>
    <row r="60" spans="1:10" ht="24.95" customHeight="1">
      <c r="B60" s="23" t="s">
        <v>95</v>
      </c>
      <c r="C60" s="24">
        <v>0</v>
      </c>
      <c r="D60" s="24">
        <v>0</v>
      </c>
      <c r="E60" s="24">
        <f>CuidadoPersonal2537[[#This Row],[Costo previsto]]-CuidadoPersonal2537[[#This Row],[Coste real]]</f>
        <v>0</v>
      </c>
      <c r="F60" s="9"/>
      <c r="G60" s="41"/>
      <c r="H60" s="41"/>
      <c r="I60" s="41"/>
      <c r="J60" s="41"/>
    </row>
    <row r="61" spans="1:10" ht="24.95" customHeight="1">
      <c r="A61" s="4" t="s">
        <v>13</v>
      </c>
      <c r="B61" s="23" t="s">
        <v>37</v>
      </c>
      <c r="C61" s="24">
        <v>0</v>
      </c>
      <c r="D61" s="24">
        <v>0</v>
      </c>
      <c r="E61" s="24">
        <f>CuidadoPersonal2537[[#This Row],[Costo previsto]]-CuidadoPersonal2537[[#This Row],[Coste real]]</f>
        <v>0</v>
      </c>
      <c r="F61" s="9"/>
      <c r="G61" s="35" t="s">
        <v>89</v>
      </c>
      <c r="H61" s="35"/>
      <c r="I61" s="35"/>
      <c r="J61" s="40">
        <f>SUBTOTAL(109,Alojamiento1426[COSTO PREVISTO],Transporte1729[Costo previsto],Seguro1830[COSTO PREVISTO],Comida2133[COSTO PREVISTO],Mascotas2335[COSTO PREVISTO],CuidadoPersonal2537[Costo previsto],Entretenimiento1527[COSTO PREVISTO],Prestamos1628[COSTO PREVISTO],Impuestos1931[COSTO PREVISTO],Ahorros2032[COSTO PREVISTO],Regalos2234[COSTO PREVISTO],Legal2436[COSTO PREVISTO])</f>
        <v>0</v>
      </c>
    </row>
    <row r="62" spans="1:10" ht="24.95" customHeight="1">
      <c r="B62" s="23" t="s">
        <v>38</v>
      </c>
      <c r="C62" s="24">
        <v>0</v>
      </c>
      <c r="D62" s="24">
        <v>0</v>
      </c>
      <c r="E62" s="24">
        <f>CuidadoPersonal2537[[#This Row],[Costo previsto]]-CuidadoPersonal2537[[#This Row],[Coste real]]</f>
        <v>0</v>
      </c>
      <c r="F62" s="9"/>
      <c r="G62" s="35"/>
      <c r="H62" s="35"/>
      <c r="I62" s="35"/>
      <c r="J62" s="40"/>
    </row>
    <row r="63" spans="1:10" ht="24.95" customHeight="1">
      <c r="B63" s="23" t="s">
        <v>39</v>
      </c>
      <c r="C63" s="24">
        <v>0</v>
      </c>
      <c r="D63" s="24">
        <v>0</v>
      </c>
      <c r="E63" s="24">
        <f>CuidadoPersonal2537[[#This Row],[Costo previsto]]-CuidadoPersonal2537[[#This Row],[Coste real]]</f>
        <v>0</v>
      </c>
      <c r="F63" s="9"/>
      <c r="G63" s="35" t="s">
        <v>90</v>
      </c>
      <c r="H63" s="35"/>
      <c r="I63" s="35"/>
      <c r="J63" s="40">
        <f>SUBTOTAL(109,Alojamiento1426[COSTO REAL],Transporte1729[Costo real],Seguro1830[COSTO REAL],Comida2133[COSTO REAL],Mascotas2335[COSTO REAL],CuidadoPersonal2537[Coste real],Entretenimiento1527[COSTO REAL],Prestamos1628[COSTO REAL],Impuestos1931[COSTO REAL],Ahorros2032[COSTO REAL],Regalos2234[[COSTO REAL ]],Legal2436[COSTO REAL])</f>
        <v>0</v>
      </c>
    </row>
    <row r="64" spans="1:10" ht="24.95" customHeight="1">
      <c r="B64" s="23" t="s">
        <v>88</v>
      </c>
      <c r="C64" s="24">
        <v>0</v>
      </c>
      <c r="D64" s="24">
        <v>0</v>
      </c>
      <c r="E64" s="24">
        <f>CuidadoPersonal2537[[#This Row],[Costo previsto]]-CuidadoPersonal2537[[#This Row],[Coste real]]</f>
        <v>0</v>
      </c>
      <c r="F64" s="9"/>
      <c r="G64" s="35"/>
      <c r="H64" s="35"/>
      <c r="I64" s="35"/>
      <c r="J64" s="40"/>
    </row>
    <row r="65" spans="2:10" ht="24.95" customHeight="1">
      <c r="B65" s="23" t="s">
        <v>18</v>
      </c>
      <c r="C65" s="24">
        <v>0</v>
      </c>
      <c r="D65" s="24">
        <v>0</v>
      </c>
      <c r="E65" s="24">
        <f>CuidadoPersonal2537[[#This Row],[Costo previsto]]-CuidadoPersonal2537[[#This Row],[Coste real]]</f>
        <v>0</v>
      </c>
      <c r="F65" s="9"/>
      <c r="G65" s="35" t="s">
        <v>91</v>
      </c>
      <c r="H65" s="35"/>
      <c r="I65" s="35"/>
      <c r="J65" s="40">
        <f>J61-J63</f>
        <v>0</v>
      </c>
    </row>
    <row r="66" spans="2:10" ht="24.95" customHeight="1">
      <c r="B66" s="25" t="s">
        <v>19</v>
      </c>
      <c r="C66" s="26">
        <f>SUBTOTAL(109,CuidadoPersonal2537[Costo previsto])</f>
        <v>0</v>
      </c>
      <c r="D66" s="26">
        <f>SUBTOTAL(109,CuidadoPersonal2537[Coste real])</f>
        <v>0</v>
      </c>
      <c r="E66" s="26">
        <f>SUBTOTAL(109,CuidadoPersonal2537[Diferencia])</f>
        <v>0</v>
      </c>
      <c r="F66" s="9"/>
      <c r="G66" s="35"/>
      <c r="H66" s="35"/>
      <c r="I66" s="35"/>
      <c r="J66" s="40"/>
    </row>
    <row r="67" spans="2:10">
      <c r="B67" s="42"/>
      <c r="C67" s="42"/>
      <c r="D67" s="42"/>
      <c r="E67" s="42"/>
    </row>
  </sheetData>
  <mergeCells count="26">
    <mergeCell ref="G63:I64"/>
    <mergeCell ref="J63:J64"/>
    <mergeCell ref="G65:I66"/>
    <mergeCell ref="J65:J66"/>
    <mergeCell ref="B67:E67"/>
    <mergeCell ref="G61:I62"/>
    <mergeCell ref="J61:J62"/>
    <mergeCell ref="G25:J25"/>
    <mergeCell ref="B26:E26"/>
    <mergeCell ref="G34:J34"/>
    <mergeCell ref="B36:E36"/>
    <mergeCell ref="G41:J41"/>
    <mergeCell ref="B43:E43"/>
    <mergeCell ref="G47:J47"/>
    <mergeCell ref="B49:E49"/>
    <mergeCell ref="G53:J53"/>
    <mergeCell ref="B57:E57"/>
    <mergeCell ref="G60:J60"/>
    <mergeCell ref="E8:G9"/>
    <mergeCell ref="H8:H9"/>
    <mergeCell ref="B9:C9"/>
    <mergeCell ref="B4:C4"/>
    <mergeCell ref="E4:G5"/>
    <mergeCell ref="H4:H5"/>
    <mergeCell ref="E6:G7"/>
    <mergeCell ref="H6:H7"/>
  </mergeCells>
  <dataValidations count="12">
    <dataValidation allowBlank="1" showInputMessage="1" showErrorMessage="1" prompt="Cree un presupuesto mensual personal en esta hoja de cálculo. Encontrará instrucciones útiles sobre cómo usar este libro en las celdas de esta columna. Use la flecha hacia abajo para empezar." sqref="A1"/>
    <dataValidation allowBlank="1" showInputMessage="1" showErrorMessage="1" prompt="El título de esta hoja de cálculo está en la celda C2. La instrucción siguiente se encuentra en la celda A4." sqref="A2"/>
    <dataValidation allowBlank="1" showInputMessage="1" showErrorMessage="1" prompt="La etiqueta Ingresos mensuales previstos está en la celda de la derecha. Escriba el Ingreso 1 en la celda C5 y el Ingreso adicional en la C6 para calcular el total de ingresos mensuales en la celda C7. La instrucción siguiente se encuentra en la celda A7." sqref="A4"/>
    <dataValidation allowBlank="1" showInputMessage="1" showErrorMessage="1" prompt="El saldo previsto se calcula automáticamente en la celda H4; el saldo real, en la H6; y la diferencia, en la celda H8. La instrucción siguiente se encuentra en la celda A9." sqref="A7"/>
    <dataValidation allowBlank="1" showInputMessage="1" showErrorMessage="1" prompt="La etiqueta Ingresos mensuales reales está en la celda de la derecha. Escriba el Ingreso 1 en la celda C10 y el Ingreso adicional en la C11 para calcular el total de ingresos mensuales en la celda C12. La instrucción siguiente está en la celda A14." sqref="A9"/>
    <dataValidation allowBlank="1" showInputMessage="1" showErrorMessage="1" prompt="Escriba la información en la tabla Alojamiento, empezando por la celda de la derecha y en la tabla Entretenimiento, empezando por la celda G14. La instrucción siguiente se encuentra en la celda A27." sqref="A14"/>
    <dataValidation allowBlank="1" showInputMessage="1" showErrorMessage="1" prompt="Escriba la información en la tabla Transporte, empezando por la celda de la derecha y en la tabla Préstamos, empezando por la celda G26. La instrucción siguiente se encuentra en la celda A37." sqref="A27"/>
    <dataValidation allowBlank="1" showInputMessage="1" showErrorMessage="1" prompt="Escriba la información en la tabla Seguro, empezando por la celda de la derecha y en la tabla Impuestos, empezando por la celda G35. La instrucción siguiente se encuentra en la celda A44." sqref="A37"/>
    <dataValidation allowBlank="1" showInputMessage="1" showErrorMessage="1" prompt="Escriba la información en la tabla Comida, empezando por la celda de la derecha y en la tabla Ahorros, empezando por la celda G42. La instrucción siguiente se encuentra en la celda A50." sqref="A44"/>
    <dataValidation allowBlank="1" showInputMessage="1" showErrorMessage="1" prompt="Escriba la información en la tabla Mascotas, empezando por la celda de la derecha y en la tabla Regalos, empezando por la celda G48. La instrucción siguiente se encuentra en la celda A58." sqref="A50"/>
    <dataValidation allowBlank="1" showInputMessage="1" showErrorMessage="1" prompt="Escriba la información en la tabla Cuidado personal, empezando por la celda de la derecha y en la tabla Legal, empezando por la celda G54. La instrucción siguiente se encuentra en la celda A61." sqref="A58"/>
    <dataValidation allowBlank="1" showInputMessage="1" showErrorMessage="1" prompt="El total de gastos previstos se calcula automáticamente en la celda J61; el total del gasto real, en la J63; y la diferencia total, en la celda J65." sqref="A61"/>
  </dataValidations>
  <pageMargins left="0.7" right="0.7" top="0.75" bottom="0.75" header="0.3" footer="0.3"/>
  <pageSetup paperSize="9" orientation="portrait" r:id="rId1"/>
  <drawing r:id="rId2"/>
  <tableParts count="12">
    <tablePart r:id="rId3"/>
    <tablePart r:id="rId4"/>
    <tablePart r:id="rId5"/>
    <tablePart r:id="rId6"/>
    <tablePart r:id="rId7"/>
    <tablePart r:id="rId8"/>
    <tablePart r:id="rId9"/>
    <tablePart r:id="rId10"/>
    <tablePart r:id="rId11"/>
    <tablePart r:id="rId12"/>
    <tablePart r:id="rId13"/>
    <tablePart r:id="rId1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O67"/>
  <sheetViews>
    <sheetView topLeftCell="A4" zoomScale="70" zoomScaleNormal="70" workbookViewId="0">
      <selection activeCell="E70" sqref="E70"/>
    </sheetView>
  </sheetViews>
  <sheetFormatPr baseColWidth="10" defaultColWidth="9" defaultRowHeight="12.75"/>
  <cols>
    <col min="1" max="1" width="2.625" style="4" customWidth="1"/>
    <col min="2" max="2" width="34.875" customWidth="1"/>
    <col min="3" max="3" width="20.875" customWidth="1"/>
    <col min="4" max="4" width="17.625" customWidth="1"/>
    <col min="5" max="5" width="16" customWidth="1"/>
    <col min="6" max="6" width="2.625" customWidth="1"/>
    <col min="7" max="7" width="34.875" customWidth="1"/>
    <col min="8" max="8" width="19.625" customWidth="1"/>
    <col min="9" max="9" width="16.25" customWidth="1"/>
    <col min="10" max="10" width="17.625" customWidth="1"/>
    <col min="11" max="11" width="2.625" customWidth="1"/>
  </cols>
  <sheetData>
    <row r="1" spans="1:15" s="1" customFormat="1" ht="14.25">
      <c r="A1" s="3" t="s">
        <v>2</v>
      </c>
    </row>
    <row r="2" spans="1:15" s="1" customFormat="1" ht="71.25" customHeight="1">
      <c r="A2" s="10" t="s">
        <v>3</v>
      </c>
      <c r="B2" s="12"/>
      <c r="C2" s="13"/>
      <c r="D2" s="14"/>
      <c r="E2" s="14"/>
      <c r="F2" s="14"/>
      <c r="G2" s="14"/>
      <c r="H2" s="14"/>
      <c r="I2" s="15"/>
      <c r="J2" s="15"/>
      <c r="K2" s="12"/>
    </row>
    <row r="3" spans="1:15">
      <c r="B3" s="16"/>
      <c r="C3" s="16"/>
      <c r="D3" s="16"/>
      <c r="E3" s="16"/>
      <c r="F3" s="16"/>
      <c r="G3" s="16"/>
      <c r="H3" s="16"/>
      <c r="I3" s="16"/>
      <c r="J3" s="16"/>
      <c r="K3" s="16"/>
    </row>
    <row r="4" spans="1:15" ht="24.95" customHeight="1">
      <c r="A4" s="4" t="s">
        <v>4</v>
      </c>
      <c r="B4" s="37" t="s">
        <v>67</v>
      </c>
      <c r="C4" s="39"/>
      <c r="D4" s="6"/>
      <c r="E4" s="35" t="s">
        <v>92</v>
      </c>
      <c r="F4" s="35"/>
      <c r="G4" s="35"/>
      <c r="H4" s="36">
        <f>C7-J61</f>
        <v>0</v>
      </c>
    </row>
    <row r="5" spans="1:15" ht="24.95" customHeight="1">
      <c r="B5" s="17" t="s">
        <v>14</v>
      </c>
      <c r="C5" s="18">
        <v>0</v>
      </c>
      <c r="E5" s="35"/>
      <c r="F5" s="35"/>
      <c r="G5" s="35"/>
      <c r="H5" s="36"/>
      <c r="I5" s="7"/>
    </row>
    <row r="6" spans="1:15" ht="24.95" customHeight="1">
      <c r="B6" s="17" t="s">
        <v>69</v>
      </c>
      <c r="C6" s="18">
        <v>0</v>
      </c>
      <c r="E6" s="35" t="s">
        <v>93</v>
      </c>
      <c r="F6" s="35"/>
      <c r="G6" s="35"/>
      <c r="H6" s="36">
        <f>C12-J63</f>
        <v>0</v>
      </c>
      <c r="I6" s="7"/>
    </row>
    <row r="7" spans="1:15" ht="24.95" customHeight="1">
      <c r="A7" s="4" t="s">
        <v>5</v>
      </c>
      <c r="B7" s="17" t="s">
        <v>70</v>
      </c>
      <c r="C7" s="20">
        <f>SUM(C5:C6)</f>
        <v>0</v>
      </c>
      <c r="E7" s="35"/>
      <c r="F7" s="35"/>
      <c r="G7" s="35"/>
      <c r="H7" s="36"/>
      <c r="I7" s="7"/>
    </row>
    <row r="8" spans="1:15" ht="24.95" customHeight="1">
      <c r="B8" s="2"/>
      <c r="C8" s="2"/>
      <c r="D8" s="2"/>
      <c r="E8" s="35" t="s">
        <v>94</v>
      </c>
      <c r="F8" s="35"/>
      <c r="G8" s="35"/>
      <c r="H8" s="36">
        <f>H6-H4</f>
        <v>0</v>
      </c>
      <c r="I8" s="7"/>
    </row>
    <row r="9" spans="1:15" ht="24.95" customHeight="1">
      <c r="A9" s="4" t="s">
        <v>6</v>
      </c>
      <c r="B9" s="37" t="s">
        <v>68</v>
      </c>
      <c r="C9" s="38"/>
      <c r="D9" s="6"/>
      <c r="E9" s="35"/>
      <c r="F9" s="35"/>
      <c r="G9" s="35"/>
      <c r="H9" s="36"/>
      <c r="I9" s="8"/>
    </row>
    <row r="10" spans="1:15" ht="24.95" customHeight="1">
      <c r="B10" s="17" t="s">
        <v>99</v>
      </c>
      <c r="C10" s="18">
        <v>0</v>
      </c>
      <c r="I10" s="7"/>
    </row>
    <row r="11" spans="1:15" ht="24.95" customHeight="1">
      <c r="B11" s="17" t="s">
        <v>69</v>
      </c>
      <c r="C11" s="18">
        <v>0</v>
      </c>
      <c r="E11" s="7"/>
      <c r="H11" s="11"/>
      <c r="I11" s="11"/>
    </row>
    <row r="12" spans="1:15" ht="24.95" customHeight="1">
      <c r="B12" s="19" t="s">
        <v>70</v>
      </c>
      <c r="C12" s="20">
        <f>SUM(C10:C11)</f>
        <v>0</v>
      </c>
    </row>
    <row r="14" spans="1:15" ht="24.95" customHeight="1">
      <c r="A14" s="4" t="s">
        <v>7</v>
      </c>
      <c r="B14" s="21" t="s">
        <v>74</v>
      </c>
      <c r="C14" s="21" t="s">
        <v>76</v>
      </c>
      <c r="D14" s="21" t="s">
        <v>75</v>
      </c>
      <c r="E14" s="21" t="s">
        <v>77</v>
      </c>
      <c r="F14" s="9"/>
      <c r="G14" s="21" t="s">
        <v>44</v>
      </c>
      <c r="H14" s="21" t="s">
        <v>76</v>
      </c>
      <c r="I14" s="21" t="s">
        <v>75</v>
      </c>
      <c r="J14" s="21" t="s">
        <v>77</v>
      </c>
      <c r="O14" s="22"/>
    </row>
    <row r="15" spans="1:15" ht="25.5" customHeight="1">
      <c r="B15" s="23" t="s">
        <v>78</v>
      </c>
      <c r="C15" s="24">
        <v>0</v>
      </c>
      <c r="D15" s="24">
        <v>0</v>
      </c>
      <c r="E15" s="24">
        <f>Alojamiento1438[[#This Row],[COSTO PREVISTO]]-Alojamiento1438[[#This Row],[COSTO REAL]]</f>
        <v>0</v>
      </c>
      <c r="F15" s="9"/>
      <c r="G15" s="23" t="s">
        <v>45</v>
      </c>
      <c r="H15" s="24">
        <v>0</v>
      </c>
      <c r="I15" s="24">
        <v>0</v>
      </c>
      <c r="J15" s="24">
        <f>Entretenimiento1539[[#This Row],[COSTO PREVISTO]]-Entretenimiento1539[[#This Row],[COSTO REAL]]</f>
        <v>0</v>
      </c>
    </row>
    <row r="16" spans="1:15" ht="24.95" customHeight="1">
      <c r="B16" s="23" t="s">
        <v>61</v>
      </c>
      <c r="C16" s="24">
        <v>0</v>
      </c>
      <c r="D16" s="24">
        <v>0</v>
      </c>
      <c r="E16" s="24">
        <f>Alojamiento1438[[#This Row],[COSTO PREVISTO]]-Alojamiento1438[[#This Row],[COSTO REAL]]</f>
        <v>0</v>
      </c>
      <c r="F16" s="9"/>
      <c r="G16" s="23" t="s">
        <v>46</v>
      </c>
      <c r="H16" s="24">
        <v>0</v>
      </c>
      <c r="I16" s="24">
        <v>0</v>
      </c>
      <c r="J16" s="24">
        <f>Entretenimiento1539[[#This Row],[COSTO PREVISTO]]-Entretenimiento1539[[#This Row],[COSTO REAL]]</f>
        <v>0</v>
      </c>
    </row>
    <row r="17" spans="1:10" ht="24.95" customHeight="1">
      <c r="B17" s="23" t="s">
        <v>15</v>
      </c>
      <c r="C17" s="24">
        <v>0</v>
      </c>
      <c r="D17" s="24">
        <v>0</v>
      </c>
      <c r="E17" s="24">
        <f>Alojamiento1438[[#This Row],[COSTO PREVISTO]]-Alojamiento1438[[#This Row],[COSTO REAL]]</f>
        <v>0</v>
      </c>
      <c r="F17" s="9"/>
      <c r="G17" s="23" t="s">
        <v>47</v>
      </c>
      <c r="H17" s="24">
        <v>0</v>
      </c>
      <c r="I17" s="24">
        <v>0</v>
      </c>
      <c r="J17" s="24">
        <f>Entretenimiento1539[[#This Row],[COSTO PREVISTO]]-Entretenimiento1539[[#This Row],[COSTO REAL]]</f>
        <v>0</v>
      </c>
    </row>
    <row r="18" spans="1:10" ht="24.95" customHeight="1">
      <c r="B18" s="23" t="s">
        <v>16</v>
      </c>
      <c r="C18" s="24">
        <v>0</v>
      </c>
      <c r="D18" s="24">
        <v>0</v>
      </c>
      <c r="E18" s="24">
        <f>Alojamiento1438[[#This Row],[COSTO PREVISTO]]-Alojamiento1438[[#This Row],[COSTO REAL]]</f>
        <v>0</v>
      </c>
      <c r="F18" s="9"/>
      <c r="G18" s="23" t="s">
        <v>48</v>
      </c>
      <c r="H18" s="24">
        <v>0</v>
      </c>
      <c r="I18" s="24">
        <v>0</v>
      </c>
      <c r="J18" s="24">
        <f>Entretenimiento1539[[#This Row],[COSTO PREVISTO]]-Entretenimiento1539[[#This Row],[COSTO REAL]]</f>
        <v>0</v>
      </c>
    </row>
    <row r="19" spans="1:10" ht="24.95" customHeight="1">
      <c r="B19" s="23" t="s">
        <v>71</v>
      </c>
      <c r="C19" s="24">
        <v>0</v>
      </c>
      <c r="D19" s="24">
        <v>0</v>
      </c>
      <c r="E19" s="24">
        <f>Alojamiento1438[[#This Row],[COSTO PREVISTO]]-Alojamiento1438[[#This Row],[COSTO REAL]]</f>
        <v>0</v>
      </c>
      <c r="F19" s="9"/>
      <c r="G19" s="23" t="s">
        <v>82</v>
      </c>
      <c r="H19" s="24">
        <v>0</v>
      </c>
      <c r="I19" s="24">
        <v>0</v>
      </c>
      <c r="J19" s="24">
        <f>Entretenimiento1539[[#This Row],[COSTO PREVISTO]]-Entretenimiento1539[[#This Row],[COSTO REAL]]</f>
        <v>0</v>
      </c>
    </row>
    <row r="20" spans="1:10" ht="24.95" customHeight="1">
      <c r="B20" s="23" t="s">
        <v>72</v>
      </c>
      <c r="C20" s="24">
        <v>0</v>
      </c>
      <c r="D20" s="24">
        <v>0</v>
      </c>
      <c r="E20" s="24">
        <f>Alojamiento1438[[#This Row],[COSTO PREVISTO]]-Alojamiento1438[[#This Row],[COSTO REAL]]</f>
        <v>0</v>
      </c>
      <c r="F20" s="9"/>
      <c r="G20" s="23" t="s">
        <v>49</v>
      </c>
      <c r="H20" s="24">
        <v>0</v>
      </c>
      <c r="I20" s="24">
        <v>0</v>
      </c>
      <c r="J20" s="24">
        <f>Entretenimiento1539[[#This Row],[COSTO PREVISTO]]-Entretenimiento1539[[#This Row],[COSTO REAL]]</f>
        <v>0</v>
      </c>
    </row>
    <row r="21" spans="1:10" ht="24.95" customHeight="1">
      <c r="B21" s="23" t="s">
        <v>81</v>
      </c>
      <c r="C21" s="24">
        <v>0</v>
      </c>
      <c r="D21" s="24">
        <v>0</v>
      </c>
      <c r="E21" s="24">
        <f>Alojamiento1438[[#This Row],[COSTO PREVISTO]]-Alojamiento1438[[#This Row],[COSTO REAL]]</f>
        <v>0</v>
      </c>
      <c r="F21" s="9"/>
      <c r="G21" s="23" t="s">
        <v>18</v>
      </c>
      <c r="H21" s="24">
        <v>0</v>
      </c>
      <c r="I21" s="24">
        <v>0</v>
      </c>
      <c r="J21" s="24">
        <f>Entretenimiento1539[[#This Row],[COSTO PREVISTO]]-Entretenimiento1539[[#This Row],[COSTO REAL]]</f>
        <v>0</v>
      </c>
    </row>
    <row r="22" spans="1:10" ht="24.95" customHeight="1">
      <c r="B22" s="23" t="s">
        <v>73</v>
      </c>
      <c r="C22" s="24">
        <v>0</v>
      </c>
      <c r="D22" s="24">
        <v>0</v>
      </c>
      <c r="E22" s="24">
        <f>Alojamiento1438[[#This Row],[COSTO PREVISTO]]-Alojamiento1438[[#This Row],[COSTO REAL]]</f>
        <v>0</v>
      </c>
      <c r="F22" s="9"/>
      <c r="G22" s="23" t="s">
        <v>18</v>
      </c>
      <c r="H22" s="24">
        <v>0</v>
      </c>
      <c r="I22" s="24">
        <v>0</v>
      </c>
      <c r="J22" s="24">
        <f>Entretenimiento1539[[#This Row],[COSTO PREVISTO]]-Entretenimiento1539[[#This Row],[COSTO REAL]]</f>
        <v>0</v>
      </c>
    </row>
    <row r="23" spans="1:10" ht="24.95" customHeight="1">
      <c r="B23" s="23" t="s">
        <v>17</v>
      </c>
      <c r="C23" s="24">
        <v>0</v>
      </c>
      <c r="D23" s="24">
        <v>0</v>
      </c>
      <c r="E23" s="24">
        <f>Alojamiento1438[[#This Row],[COSTO PREVISTO]]-Alojamiento1438[[#This Row],[COSTO REAL]]</f>
        <v>0</v>
      </c>
      <c r="F23" s="9"/>
      <c r="G23" s="23" t="s">
        <v>18</v>
      </c>
      <c r="H23" s="24">
        <v>0</v>
      </c>
      <c r="I23" s="24">
        <v>0</v>
      </c>
      <c r="J23" s="24">
        <f>Entretenimiento1539[[#This Row],[COSTO PREVISTO]]-Entretenimiento1539[[#This Row],[COSTO REAL]]</f>
        <v>0</v>
      </c>
    </row>
    <row r="24" spans="1:10" ht="24.95" customHeight="1">
      <c r="B24" s="23" t="s">
        <v>18</v>
      </c>
      <c r="C24" s="24">
        <v>0</v>
      </c>
      <c r="D24" s="24">
        <v>0</v>
      </c>
      <c r="E24" s="24">
        <f>Alojamiento1438[[#This Row],[COSTO PREVISTO]]-Alojamiento1438[[#This Row],[COSTO REAL]]</f>
        <v>0</v>
      </c>
      <c r="F24" s="9"/>
      <c r="G24" s="25" t="s">
        <v>19</v>
      </c>
      <c r="H24" s="27" t="s">
        <v>66</v>
      </c>
      <c r="I24" s="27" t="s">
        <v>66</v>
      </c>
      <c r="J24" s="26">
        <f>SUBTOTAL(109,Entretenimiento1539[DIFERENCIA])</f>
        <v>0</v>
      </c>
    </row>
    <row r="25" spans="1:10" ht="24.95" customHeight="1">
      <c r="B25" s="25" t="s">
        <v>19</v>
      </c>
      <c r="C25" s="26">
        <f>SUBTOTAL(109,Alojamiento1438[COSTO PREVISTO])</f>
        <v>0</v>
      </c>
      <c r="D25" s="26">
        <f>SUBTOTAL(109,Alojamiento1438[COSTO REAL])</f>
        <v>0</v>
      </c>
      <c r="E25" s="26">
        <f>SUBTOTAL(109,Alojamiento1438[DIFERENCIA])</f>
        <v>0</v>
      </c>
      <c r="F25" s="9"/>
      <c r="G25" s="41"/>
      <c r="H25" s="41"/>
      <c r="I25" s="41"/>
      <c r="J25" s="41"/>
    </row>
    <row r="26" spans="1:10" ht="24.95" customHeight="1">
      <c r="B26" s="41"/>
      <c r="C26" s="41"/>
      <c r="D26" s="41"/>
      <c r="E26" s="41"/>
      <c r="F26" s="9"/>
      <c r="G26" s="21" t="s">
        <v>50</v>
      </c>
      <c r="H26" s="21" t="s">
        <v>76</v>
      </c>
      <c r="I26" s="21" t="s">
        <v>75</v>
      </c>
      <c r="J26" s="21" t="s">
        <v>77</v>
      </c>
    </row>
    <row r="27" spans="1:10" ht="24.95" customHeight="1">
      <c r="A27" s="4" t="s">
        <v>8</v>
      </c>
      <c r="B27" s="21" t="s">
        <v>20</v>
      </c>
      <c r="C27" s="21" t="s">
        <v>40</v>
      </c>
      <c r="D27" s="21" t="s">
        <v>41</v>
      </c>
      <c r="E27" s="21" t="s">
        <v>43</v>
      </c>
      <c r="F27" s="9"/>
      <c r="G27" s="23" t="s">
        <v>51</v>
      </c>
      <c r="H27" s="24">
        <v>0</v>
      </c>
      <c r="I27" s="24">
        <v>0</v>
      </c>
      <c r="J27" s="24">
        <f>Prestamos1640[[#This Row],[COSTO PREVISTO]]-Prestamos1640[[#This Row],[COSTO REAL]]</f>
        <v>0</v>
      </c>
    </row>
    <row r="28" spans="1:10" ht="24.95" customHeight="1">
      <c r="B28" s="23" t="s">
        <v>62</v>
      </c>
      <c r="C28" s="24">
        <v>0</v>
      </c>
      <c r="D28" s="24">
        <v>0</v>
      </c>
      <c r="E28" s="24">
        <f>Transporte1741[[#This Row],[Costo previsto]]-Transporte1741[[#This Row],[Costo real]]</f>
        <v>0</v>
      </c>
      <c r="F28" s="9"/>
      <c r="G28" s="23" t="s">
        <v>52</v>
      </c>
      <c r="H28" s="24">
        <v>0</v>
      </c>
      <c r="I28" s="24">
        <v>0</v>
      </c>
      <c r="J28" s="24">
        <f>Prestamos1640[[#This Row],[COSTO PREVISTO]]-Prestamos1640[[#This Row],[COSTO REAL]]</f>
        <v>0</v>
      </c>
    </row>
    <row r="29" spans="1:10" ht="24.95" customHeight="1">
      <c r="B29" s="23" t="s">
        <v>83</v>
      </c>
      <c r="C29" s="24">
        <v>0</v>
      </c>
      <c r="D29" s="24">
        <v>0</v>
      </c>
      <c r="E29" s="24">
        <f>Transporte1741[[#This Row],[Costo previsto]]-Transporte1741[[#This Row],[Costo real]]</f>
        <v>0</v>
      </c>
      <c r="F29" s="9"/>
      <c r="G29" s="23" t="s">
        <v>53</v>
      </c>
      <c r="H29" s="24">
        <v>0</v>
      </c>
      <c r="I29" s="24">
        <v>0</v>
      </c>
      <c r="J29" s="24">
        <f>Prestamos1640[[#This Row],[COSTO PREVISTO]]-Prestamos1640[[#This Row],[COSTO REAL]]</f>
        <v>0</v>
      </c>
    </row>
    <row r="30" spans="1:10" ht="24.95" customHeight="1">
      <c r="B30" s="23" t="s">
        <v>21</v>
      </c>
      <c r="C30" s="24">
        <v>0</v>
      </c>
      <c r="D30" s="24">
        <v>0</v>
      </c>
      <c r="E30" s="24">
        <f>Transporte1741[[#This Row],[Costo previsto]]-Transporte1741[[#This Row],[Costo real]]</f>
        <v>0</v>
      </c>
      <c r="F30" s="9"/>
      <c r="G30" s="23" t="s">
        <v>53</v>
      </c>
      <c r="H30" s="24">
        <v>0</v>
      </c>
      <c r="I30" s="24">
        <v>0</v>
      </c>
      <c r="J30" s="24">
        <f>Prestamos1640[[#This Row],[COSTO PREVISTO]]-Prestamos1640[[#This Row],[COSTO REAL]]</f>
        <v>0</v>
      </c>
    </row>
    <row r="31" spans="1:10" ht="24.95" customHeight="1">
      <c r="B31" s="23" t="s">
        <v>22</v>
      </c>
      <c r="C31" s="24">
        <v>0</v>
      </c>
      <c r="D31" s="24">
        <v>0</v>
      </c>
      <c r="E31" s="24">
        <f>Transporte1741[[#This Row],[Costo previsto]]-Transporte1741[[#This Row],[Costo real]]</f>
        <v>0</v>
      </c>
      <c r="F31" s="9"/>
      <c r="G31" s="23" t="s">
        <v>53</v>
      </c>
      <c r="H31" s="24">
        <v>0</v>
      </c>
      <c r="I31" s="24">
        <v>0</v>
      </c>
      <c r="J31" s="24">
        <f>Prestamos1640[[#This Row],[COSTO PREVISTO]]-Prestamos1640[[#This Row],[COSTO REAL]]</f>
        <v>0</v>
      </c>
    </row>
    <row r="32" spans="1:10" ht="24.95" customHeight="1">
      <c r="B32" s="23" t="s">
        <v>23</v>
      </c>
      <c r="C32" s="24">
        <v>0</v>
      </c>
      <c r="D32" s="24">
        <v>0</v>
      </c>
      <c r="E32" s="24">
        <f>Transporte1741[[#This Row],[Costo previsto]]-Transporte1741[[#This Row],[Costo real]]</f>
        <v>0</v>
      </c>
      <c r="F32" s="9"/>
      <c r="G32" s="23" t="s">
        <v>18</v>
      </c>
      <c r="H32" s="24">
        <v>0</v>
      </c>
      <c r="I32" s="24">
        <v>0</v>
      </c>
      <c r="J32" s="24">
        <f>Prestamos1640[[#This Row],[COSTO PREVISTO]]-Prestamos1640[[#This Row],[COSTO REAL]]</f>
        <v>0</v>
      </c>
    </row>
    <row r="33" spans="1:10" ht="24.95" customHeight="1">
      <c r="B33" s="23" t="s">
        <v>24</v>
      </c>
      <c r="C33" s="24">
        <v>0</v>
      </c>
      <c r="D33" s="24">
        <v>0</v>
      </c>
      <c r="E33" s="24">
        <f>Transporte1741[[#This Row],[Costo previsto]]-Transporte1741[[#This Row],[Costo real]]</f>
        <v>0</v>
      </c>
      <c r="F33" s="9"/>
      <c r="G33" s="25" t="s">
        <v>19</v>
      </c>
      <c r="H33" s="27" t="s">
        <v>66</v>
      </c>
      <c r="I33" s="27" t="s">
        <v>66</v>
      </c>
      <c r="J33" s="26">
        <f>SUBTOTAL(109,Prestamos1640[DIFERENCIA])</f>
        <v>0</v>
      </c>
    </row>
    <row r="34" spans="1:10" ht="24.95" customHeight="1">
      <c r="B34" s="23" t="s">
        <v>64</v>
      </c>
      <c r="C34" s="24">
        <v>0</v>
      </c>
      <c r="D34" s="24">
        <v>0</v>
      </c>
      <c r="E34" s="24">
        <f>Transporte1741[[#This Row],[Costo previsto]]-Transporte1741[[#This Row],[Costo real]]</f>
        <v>0</v>
      </c>
      <c r="F34" s="9"/>
      <c r="G34" s="41"/>
      <c r="H34" s="41"/>
      <c r="I34" s="41"/>
      <c r="J34" s="41"/>
    </row>
    <row r="35" spans="1:10" ht="24.95" customHeight="1">
      <c r="B35" s="25" t="s">
        <v>19</v>
      </c>
      <c r="C35" s="26">
        <f>SUBTOTAL(109,Transporte1741[Costo previsto])</f>
        <v>0</v>
      </c>
      <c r="D35" s="26">
        <f>SUBTOTAL(109,Transporte1741[Costo real])</f>
        <v>0</v>
      </c>
      <c r="E35" s="26">
        <f>SUBTOTAL(109,Transporte1741[Diferencia])</f>
        <v>0</v>
      </c>
      <c r="F35" s="9"/>
      <c r="G35" s="21" t="s">
        <v>54</v>
      </c>
      <c r="H35" s="21" t="s">
        <v>76</v>
      </c>
      <c r="I35" s="21" t="s">
        <v>75</v>
      </c>
      <c r="J35" s="21" t="s">
        <v>77</v>
      </c>
    </row>
    <row r="36" spans="1:10" ht="24.95" customHeight="1">
      <c r="B36" s="41"/>
      <c r="C36" s="41"/>
      <c r="D36" s="41"/>
      <c r="E36" s="41"/>
      <c r="F36" s="9"/>
      <c r="G36" s="23" t="s">
        <v>55</v>
      </c>
      <c r="H36" s="24">
        <v>0</v>
      </c>
      <c r="I36" s="24">
        <v>0</v>
      </c>
      <c r="J36" s="24">
        <f>Impuestos1943[[#This Row],[COSTO PREVISTO]]-Impuestos1943[[#This Row],[COSTO REAL]]</f>
        <v>0</v>
      </c>
    </row>
    <row r="37" spans="1:10" ht="24.95" customHeight="1">
      <c r="A37" s="4" t="s">
        <v>9</v>
      </c>
      <c r="B37" s="21" t="s">
        <v>25</v>
      </c>
      <c r="C37" s="21" t="s">
        <v>76</v>
      </c>
      <c r="D37" s="21" t="s">
        <v>75</v>
      </c>
      <c r="E37" s="21" t="s">
        <v>77</v>
      </c>
      <c r="F37" s="9"/>
      <c r="G37" s="23" t="s">
        <v>56</v>
      </c>
      <c r="H37" s="24">
        <v>0</v>
      </c>
      <c r="I37" s="24">
        <v>0</v>
      </c>
      <c r="J37" s="24">
        <f>Impuestos1943[[#This Row],[COSTO PREVISTO]]-Impuestos1943[[#This Row],[COSTO REAL]]</f>
        <v>0</v>
      </c>
    </row>
    <row r="38" spans="1:10" ht="24.95" customHeight="1">
      <c r="B38" s="23" t="s">
        <v>26</v>
      </c>
      <c r="C38" s="24">
        <v>0</v>
      </c>
      <c r="D38" s="24">
        <v>0</v>
      </c>
      <c r="E38" s="24">
        <f>Seguro1842[[#This Row],[COSTO PREVISTO]]-Seguro1842[[#This Row],[COSTO REAL]]</f>
        <v>0</v>
      </c>
      <c r="F38" s="9"/>
      <c r="G38" s="23" t="s">
        <v>57</v>
      </c>
      <c r="H38" s="24">
        <v>0</v>
      </c>
      <c r="I38" s="24">
        <v>0</v>
      </c>
      <c r="J38" s="24">
        <f>Impuestos1943[[#This Row],[COSTO PREVISTO]]-Impuestos1943[[#This Row],[COSTO REAL]]</f>
        <v>0</v>
      </c>
    </row>
    <row r="39" spans="1:10" ht="24.95" customHeight="1">
      <c r="B39" s="23" t="s">
        <v>98</v>
      </c>
      <c r="C39" s="24">
        <v>0</v>
      </c>
      <c r="D39" s="24">
        <v>0</v>
      </c>
      <c r="E39" s="24">
        <f>Seguro1842[[#This Row],[COSTO PREVISTO]]-Seguro1842[[#This Row],[COSTO REAL]]</f>
        <v>0</v>
      </c>
      <c r="F39" s="9"/>
      <c r="G39" s="23" t="s">
        <v>18</v>
      </c>
      <c r="H39" s="24">
        <v>0</v>
      </c>
      <c r="I39" s="24">
        <v>0</v>
      </c>
      <c r="J39" s="24">
        <f>Impuestos1943[[#This Row],[COSTO PREVISTO]]-Impuestos1943[[#This Row],[COSTO REAL]]</f>
        <v>0</v>
      </c>
    </row>
    <row r="40" spans="1:10" ht="24.95" customHeight="1">
      <c r="B40" s="23" t="s">
        <v>27</v>
      </c>
      <c r="C40" s="24">
        <v>0</v>
      </c>
      <c r="D40" s="24">
        <v>0</v>
      </c>
      <c r="E40" s="24">
        <f>Seguro1842[[#This Row],[COSTO PREVISTO]]-Seguro1842[[#This Row],[COSTO REAL]]</f>
        <v>0</v>
      </c>
      <c r="F40" s="9"/>
      <c r="G40" s="25" t="s">
        <v>19</v>
      </c>
      <c r="H40" s="27" t="s">
        <v>66</v>
      </c>
      <c r="I40" s="27" t="s">
        <v>66</v>
      </c>
      <c r="J40" s="26">
        <f>SUBTOTAL(109,Impuestos1943[DIFERENCIA])</f>
        <v>0</v>
      </c>
    </row>
    <row r="41" spans="1:10" ht="24.95" customHeight="1">
      <c r="B41" s="23" t="s">
        <v>18</v>
      </c>
      <c r="C41" s="24">
        <v>0</v>
      </c>
      <c r="D41" s="24">
        <v>0</v>
      </c>
      <c r="E41" s="24">
        <f>Seguro1842[[#This Row],[COSTO PREVISTO]]-Seguro1842[[#This Row],[COSTO REAL]]</f>
        <v>0</v>
      </c>
      <c r="F41" s="9"/>
      <c r="G41" s="41"/>
      <c r="H41" s="41"/>
      <c r="I41" s="41"/>
      <c r="J41" s="41"/>
    </row>
    <row r="42" spans="1:10" ht="24.95" customHeight="1">
      <c r="B42" s="25" t="s">
        <v>19</v>
      </c>
      <c r="C42" s="26">
        <f>SUBTOTAL(109,Seguro1842[COSTO PREVISTO])</f>
        <v>0</v>
      </c>
      <c r="D42" s="26">
        <f>SUBTOTAL(109,Seguro1842[COSTO REAL])</f>
        <v>0</v>
      </c>
      <c r="E42" s="26">
        <f>SUBTOTAL(109,Seguro1842[DIFERENCIA])</f>
        <v>0</v>
      </c>
      <c r="F42" s="9"/>
      <c r="G42" s="21" t="s">
        <v>58</v>
      </c>
      <c r="H42" s="21" t="s">
        <v>76</v>
      </c>
      <c r="I42" s="21" t="s">
        <v>75</v>
      </c>
      <c r="J42" s="21" t="s">
        <v>77</v>
      </c>
    </row>
    <row r="43" spans="1:10" ht="24.95" customHeight="1">
      <c r="B43" s="41"/>
      <c r="C43" s="41"/>
      <c r="D43" s="41"/>
      <c r="E43" s="41"/>
      <c r="F43" s="9"/>
      <c r="G43" s="23" t="s">
        <v>96</v>
      </c>
      <c r="H43" s="24">
        <v>0</v>
      </c>
      <c r="I43" s="24">
        <v>0</v>
      </c>
      <c r="J43" s="24">
        <f>Ahorros2044[[#This Row],[COSTO PREVISTO]]-Ahorros2044[[#This Row],[COSTO REAL]]</f>
        <v>0</v>
      </c>
    </row>
    <row r="44" spans="1:10" ht="24.95" customHeight="1">
      <c r="A44" s="4" t="s">
        <v>10</v>
      </c>
      <c r="B44" s="21" t="s">
        <v>28</v>
      </c>
      <c r="C44" s="21" t="s">
        <v>76</v>
      </c>
      <c r="D44" s="21" t="s">
        <v>75</v>
      </c>
      <c r="E44" s="21" t="s">
        <v>77</v>
      </c>
      <c r="F44" s="9"/>
      <c r="G44" s="23" t="s">
        <v>97</v>
      </c>
      <c r="H44" s="24">
        <v>0</v>
      </c>
      <c r="I44" s="24">
        <v>0</v>
      </c>
      <c r="J44" s="24">
        <f>Ahorros2044[[#This Row],[COSTO PREVISTO]]-Ahorros2044[[#This Row],[COSTO REAL]]</f>
        <v>0</v>
      </c>
    </row>
    <row r="45" spans="1:10" ht="24.95" customHeight="1">
      <c r="B45" s="23" t="s">
        <v>29</v>
      </c>
      <c r="C45" s="24">
        <v>0</v>
      </c>
      <c r="D45" s="24">
        <v>0</v>
      </c>
      <c r="E45" s="24">
        <f>Comida2145[[#This Row],[COSTO PREVISTO]]-Comida2145[[#This Row],[COSTO REAL]]</f>
        <v>0</v>
      </c>
      <c r="F45" s="9"/>
      <c r="G45" s="23" t="s">
        <v>18</v>
      </c>
      <c r="H45" s="24">
        <v>0</v>
      </c>
      <c r="I45" s="24">
        <v>0</v>
      </c>
      <c r="J45" s="24">
        <f>Ahorros2044[[#This Row],[COSTO PREVISTO]]-Ahorros2044[[#This Row],[COSTO REAL]]</f>
        <v>0</v>
      </c>
    </row>
    <row r="46" spans="1:10" ht="24.95" customHeight="1">
      <c r="B46" s="23" t="s">
        <v>30</v>
      </c>
      <c r="C46" s="24">
        <v>0</v>
      </c>
      <c r="D46" s="24">
        <v>0</v>
      </c>
      <c r="E46" s="24">
        <f>Comida2145[[#This Row],[COSTO PREVISTO]]-Comida2145[[#This Row],[COSTO REAL]]</f>
        <v>0</v>
      </c>
      <c r="F46" s="9"/>
      <c r="G46" s="25" t="s">
        <v>19</v>
      </c>
      <c r="H46" s="27" t="s">
        <v>66</v>
      </c>
      <c r="I46" s="27" t="s">
        <v>66</v>
      </c>
      <c r="J46" s="26">
        <f>SUBTOTAL(109,Ahorros2044[DIFERENCIA])</f>
        <v>0</v>
      </c>
    </row>
    <row r="47" spans="1:10" ht="24.95" customHeight="1">
      <c r="B47" s="23" t="s">
        <v>65</v>
      </c>
      <c r="C47" s="24">
        <v>0</v>
      </c>
      <c r="D47" s="24">
        <v>0</v>
      </c>
      <c r="E47" s="24">
        <f>Comida2145[[#This Row],[COSTO PREVISTO]]-Comida2145[[#This Row],[COSTO REAL]]</f>
        <v>0</v>
      </c>
      <c r="F47" s="9"/>
      <c r="G47" s="41"/>
      <c r="H47" s="41"/>
      <c r="I47" s="41"/>
      <c r="J47" s="41"/>
    </row>
    <row r="48" spans="1:10" ht="24.95" customHeight="1">
      <c r="B48" s="25" t="s">
        <v>19</v>
      </c>
      <c r="C48" s="26">
        <f>SUBTOTAL(109,Comida2145[COSTO PREVISTO])</f>
        <v>0</v>
      </c>
      <c r="D48" s="26">
        <f>SUBTOTAL(109,Comida2145[COSTO REAL])</f>
        <v>0</v>
      </c>
      <c r="E48" s="26">
        <f>SUBTOTAL(109,Comida2145[DIFERENCIA])</f>
        <v>0</v>
      </c>
      <c r="F48" s="9"/>
      <c r="G48" s="21" t="s">
        <v>79</v>
      </c>
      <c r="H48" s="21" t="s">
        <v>76</v>
      </c>
      <c r="I48" s="21" t="s">
        <v>80</v>
      </c>
      <c r="J48" s="21" t="s">
        <v>77</v>
      </c>
    </row>
    <row r="49" spans="1:10" ht="24.95" customHeight="1">
      <c r="B49" s="41"/>
      <c r="C49" s="41"/>
      <c r="D49" s="41"/>
      <c r="E49" s="41"/>
      <c r="F49" s="9"/>
      <c r="G49" s="23" t="s">
        <v>85</v>
      </c>
      <c r="H49" s="24">
        <v>0</v>
      </c>
      <c r="I49" s="24">
        <v>0</v>
      </c>
      <c r="J49" s="24">
        <f>Regalos2246[[#This Row],[COSTO PREVISTO]]-Regalos2246[[#This Row],[COSTO REAL ]]</f>
        <v>0</v>
      </c>
    </row>
    <row r="50" spans="1:10" ht="24.95" customHeight="1">
      <c r="A50" s="4" t="s">
        <v>11</v>
      </c>
      <c r="B50" s="21" t="s">
        <v>31</v>
      </c>
      <c r="C50" s="21" t="s">
        <v>76</v>
      </c>
      <c r="D50" s="21" t="s">
        <v>75</v>
      </c>
      <c r="E50" s="21" t="s">
        <v>77</v>
      </c>
      <c r="F50" s="9"/>
      <c r="G50" s="23" t="s">
        <v>84</v>
      </c>
      <c r="H50" s="24">
        <v>0</v>
      </c>
      <c r="I50" s="24">
        <v>0</v>
      </c>
      <c r="J50" s="24">
        <f>Regalos2246[[#This Row],[COSTO PREVISTO]]-Regalos2246[[#This Row],[COSTO REAL ]]</f>
        <v>0</v>
      </c>
    </row>
    <row r="51" spans="1:10" ht="24.95" customHeight="1">
      <c r="B51" s="23" t="s">
        <v>32</v>
      </c>
      <c r="C51" s="24">
        <v>0</v>
      </c>
      <c r="D51" s="24">
        <v>0</v>
      </c>
      <c r="E51" s="24">
        <f>Mascotas2347[[#This Row],[COSTO PREVISTO]]-Mascotas2347[[#This Row],[COSTO REAL]]</f>
        <v>0</v>
      </c>
      <c r="F51" s="9"/>
      <c r="G51" s="23" t="s">
        <v>63</v>
      </c>
      <c r="H51" s="24">
        <v>0</v>
      </c>
      <c r="I51" s="24">
        <v>0</v>
      </c>
      <c r="J51" s="24">
        <f>Regalos2246[[#This Row],[COSTO PREVISTO]]-Regalos2246[[#This Row],[COSTO REAL ]]</f>
        <v>0</v>
      </c>
    </row>
    <row r="52" spans="1:10" ht="24.95" customHeight="1">
      <c r="B52" s="23" t="s">
        <v>33</v>
      </c>
      <c r="C52" s="24">
        <v>0</v>
      </c>
      <c r="D52" s="24">
        <v>0</v>
      </c>
      <c r="E52" s="24">
        <f>Mascotas2347[[#This Row],[COSTO PREVISTO]]-Mascotas2347[[#This Row],[COSTO REAL]]</f>
        <v>0</v>
      </c>
      <c r="F52" s="9"/>
      <c r="G52" s="25" t="s">
        <v>19</v>
      </c>
      <c r="H52" s="27">
        <f>SUBTOTAL(109,Regalos2246[COSTO PREVISTO])</f>
        <v>0</v>
      </c>
      <c r="I52" s="27" t="s">
        <v>66</v>
      </c>
      <c r="J52" s="26">
        <f>SUBTOTAL(109,Regalos2246[DIFERENCIA])</f>
        <v>0</v>
      </c>
    </row>
    <row r="53" spans="1:10" ht="24.95" customHeight="1">
      <c r="B53" s="23" t="s">
        <v>34</v>
      </c>
      <c r="C53" s="24">
        <v>0</v>
      </c>
      <c r="D53" s="24">
        <v>0</v>
      </c>
      <c r="E53" s="24">
        <f>Mascotas2347[[#This Row],[COSTO PREVISTO]]-Mascotas2347[[#This Row],[COSTO REAL]]</f>
        <v>0</v>
      </c>
      <c r="F53" s="9"/>
      <c r="G53" s="41"/>
      <c r="H53" s="41"/>
      <c r="I53" s="41"/>
      <c r="J53" s="41"/>
    </row>
    <row r="54" spans="1:10" ht="24.95" customHeight="1">
      <c r="B54" s="23" t="s">
        <v>35</v>
      </c>
      <c r="C54" s="24">
        <v>0</v>
      </c>
      <c r="D54" s="24">
        <v>0</v>
      </c>
      <c r="E54" s="24">
        <f>Mascotas2347[[#This Row],[COSTO PREVISTO]]-Mascotas2347[[#This Row],[COSTO REAL]]</f>
        <v>0</v>
      </c>
      <c r="F54" s="9"/>
      <c r="G54" s="21" t="s">
        <v>59</v>
      </c>
      <c r="H54" s="21" t="s">
        <v>76</v>
      </c>
      <c r="I54" s="21" t="s">
        <v>75</v>
      </c>
      <c r="J54" s="21" t="s">
        <v>77</v>
      </c>
    </row>
    <row r="55" spans="1:10" ht="24.95" customHeight="1">
      <c r="B55" s="23" t="s">
        <v>18</v>
      </c>
      <c r="C55" s="24">
        <v>0</v>
      </c>
      <c r="D55" s="24">
        <v>0</v>
      </c>
      <c r="E55" s="24">
        <f>Mascotas2347[[#This Row],[COSTO PREVISTO]]-Mascotas2347[[#This Row],[COSTO REAL]]</f>
        <v>0</v>
      </c>
      <c r="F55" s="9"/>
      <c r="G55" s="23" t="s">
        <v>60</v>
      </c>
      <c r="H55" s="24">
        <v>0</v>
      </c>
      <c r="I55" s="24">
        <v>0</v>
      </c>
      <c r="J55" s="24">
        <f>Legal2448[[#This Row],[COSTO PREVISTO]]-Legal2448[[#This Row],[COSTO REAL]]</f>
        <v>0</v>
      </c>
    </row>
    <row r="56" spans="1:10" ht="24.95" customHeight="1">
      <c r="B56" s="25" t="s">
        <v>19</v>
      </c>
      <c r="C56" s="26">
        <f>SUBTOTAL(109,Mascotas2347[COSTO PREVISTO])</f>
        <v>0</v>
      </c>
      <c r="D56" s="26">
        <f>SUBTOTAL(109,Mascotas2347[COSTO REAL])</f>
        <v>0</v>
      </c>
      <c r="E56" s="26">
        <f>SUBTOTAL(109,Mascotas2347[DIFERENCIA])</f>
        <v>0</v>
      </c>
      <c r="F56" s="9"/>
      <c r="G56" s="23" t="s">
        <v>86</v>
      </c>
      <c r="H56" s="24">
        <v>0</v>
      </c>
      <c r="I56" s="24">
        <v>0</v>
      </c>
      <c r="J56" s="24">
        <f>Legal2448[[#This Row],[COSTO PREVISTO]]-Legal2448[[#This Row],[COSTO REAL]]</f>
        <v>0</v>
      </c>
    </row>
    <row r="57" spans="1:10" ht="24.95" customHeight="1">
      <c r="B57" s="41"/>
      <c r="C57" s="41"/>
      <c r="D57" s="41"/>
      <c r="E57" s="41"/>
      <c r="F57" s="9"/>
      <c r="G57" s="23" t="s">
        <v>87</v>
      </c>
      <c r="H57" s="24">
        <v>0</v>
      </c>
      <c r="I57" s="24">
        <v>0</v>
      </c>
      <c r="J57" s="24">
        <f>Legal2448[[#This Row],[COSTO PREVISTO]]-Legal2448[[#This Row],[COSTO REAL]]</f>
        <v>0</v>
      </c>
    </row>
    <row r="58" spans="1:10" ht="24.95" customHeight="1">
      <c r="A58" s="4" t="s">
        <v>12</v>
      </c>
      <c r="B58" s="21" t="s">
        <v>36</v>
      </c>
      <c r="C58" s="21" t="s">
        <v>40</v>
      </c>
      <c r="D58" s="21" t="s">
        <v>42</v>
      </c>
      <c r="E58" s="21" t="s">
        <v>43</v>
      </c>
      <c r="F58" s="9"/>
      <c r="G58" s="23" t="s">
        <v>18</v>
      </c>
      <c r="H58" s="24">
        <v>0</v>
      </c>
      <c r="I58" s="24">
        <v>0</v>
      </c>
      <c r="J58" s="24">
        <f>Legal2448[[#This Row],[COSTO PREVISTO]]-Legal2448[[#This Row],[COSTO REAL]]</f>
        <v>0</v>
      </c>
    </row>
    <row r="59" spans="1:10" ht="24.95" customHeight="1">
      <c r="B59" s="23" t="s">
        <v>33</v>
      </c>
      <c r="C59" s="24">
        <v>0</v>
      </c>
      <c r="D59" s="24">
        <v>0</v>
      </c>
      <c r="E59" s="24">
        <f>CuidadoPersonal2549[[#This Row],[Costo previsto]]-CuidadoPersonal2549[[#This Row],[Coste real]]</f>
        <v>0</v>
      </c>
      <c r="F59" s="9"/>
      <c r="G59" s="25" t="s">
        <v>19</v>
      </c>
      <c r="H59" s="27" t="s">
        <v>66</v>
      </c>
      <c r="I59" s="27" t="s">
        <v>66</v>
      </c>
      <c r="J59" s="26">
        <f>SUBTOTAL(109,Legal2448[DIFERENCIA])</f>
        <v>0</v>
      </c>
    </row>
    <row r="60" spans="1:10" ht="24.95" customHeight="1">
      <c r="B60" s="23" t="s">
        <v>95</v>
      </c>
      <c r="C60" s="24">
        <v>0</v>
      </c>
      <c r="D60" s="24">
        <v>0</v>
      </c>
      <c r="E60" s="24">
        <f>CuidadoPersonal2549[[#This Row],[Costo previsto]]-CuidadoPersonal2549[[#This Row],[Coste real]]</f>
        <v>0</v>
      </c>
      <c r="F60" s="9"/>
      <c r="G60" s="41"/>
      <c r="H60" s="41"/>
      <c r="I60" s="41"/>
      <c r="J60" s="41"/>
    </row>
    <row r="61" spans="1:10" ht="24.95" customHeight="1">
      <c r="A61" s="4" t="s">
        <v>13</v>
      </c>
      <c r="B61" s="23" t="s">
        <v>37</v>
      </c>
      <c r="C61" s="24">
        <v>0</v>
      </c>
      <c r="D61" s="24">
        <v>0</v>
      </c>
      <c r="E61" s="24">
        <f>CuidadoPersonal2549[[#This Row],[Costo previsto]]-CuidadoPersonal2549[[#This Row],[Coste real]]</f>
        <v>0</v>
      </c>
      <c r="F61" s="9"/>
      <c r="G61" s="35" t="s">
        <v>89</v>
      </c>
      <c r="H61" s="35"/>
      <c r="I61" s="35"/>
      <c r="J61" s="40">
        <f>SUBTOTAL(109,Alojamiento1438[COSTO PREVISTO],Transporte1741[Costo previsto],Seguro1842[COSTO PREVISTO],Comida2145[COSTO PREVISTO],Mascotas2347[COSTO PREVISTO],CuidadoPersonal2549[Costo previsto],Entretenimiento1539[COSTO PREVISTO],Prestamos1640[COSTO PREVISTO],Impuestos1943[COSTO PREVISTO],Ahorros2044[COSTO PREVISTO],Regalos2246[COSTO PREVISTO],Legal2448[COSTO PREVISTO])</f>
        <v>0</v>
      </c>
    </row>
    <row r="62" spans="1:10" ht="24.95" customHeight="1">
      <c r="B62" s="23" t="s">
        <v>38</v>
      </c>
      <c r="C62" s="24">
        <v>0</v>
      </c>
      <c r="D62" s="24">
        <v>0</v>
      </c>
      <c r="E62" s="24">
        <f>CuidadoPersonal2549[[#This Row],[Costo previsto]]-CuidadoPersonal2549[[#This Row],[Coste real]]</f>
        <v>0</v>
      </c>
      <c r="F62" s="9"/>
      <c r="G62" s="35"/>
      <c r="H62" s="35"/>
      <c r="I62" s="35"/>
      <c r="J62" s="40"/>
    </row>
    <row r="63" spans="1:10" ht="24.95" customHeight="1">
      <c r="B63" s="23" t="s">
        <v>39</v>
      </c>
      <c r="C63" s="24">
        <v>0</v>
      </c>
      <c r="D63" s="24">
        <v>0</v>
      </c>
      <c r="E63" s="24">
        <f>CuidadoPersonal2549[[#This Row],[Costo previsto]]-CuidadoPersonal2549[[#This Row],[Coste real]]</f>
        <v>0</v>
      </c>
      <c r="F63" s="9"/>
      <c r="G63" s="35" t="s">
        <v>90</v>
      </c>
      <c r="H63" s="35"/>
      <c r="I63" s="35"/>
      <c r="J63" s="40">
        <f>SUBTOTAL(109,Alojamiento1438[COSTO REAL],Transporte1741[Costo real],Seguro1842[COSTO REAL],Comida2145[COSTO REAL],Mascotas2347[COSTO REAL],CuidadoPersonal2549[Coste real],Entretenimiento1539[COSTO REAL],Prestamos1640[COSTO REAL],Impuestos1943[COSTO REAL],Ahorros2044[COSTO REAL],Regalos2246[[COSTO REAL ]],Legal2448[COSTO REAL])</f>
        <v>0</v>
      </c>
    </row>
    <row r="64" spans="1:10" ht="24.95" customHeight="1">
      <c r="B64" s="23" t="s">
        <v>88</v>
      </c>
      <c r="C64" s="24">
        <v>0</v>
      </c>
      <c r="D64" s="24">
        <v>0</v>
      </c>
      <c r="E64" s="24">
        <f>CuidadoPersonal2549[[#This Row],[Costo previsto]]-CuidadoPersonal2549[[#This Row],[Coste real]]</f>
        <v>0</v>
      </c>
      <c r="F64" s="9"/>
      <c r="G64" s="35"/>
      <c r="H64" s="35"/>
      <c r="I64" s="35"/>
      <c r="J64" s="40"/>
    </row>
    <row r="65" spans="2:10" ht="24.95" customHeight="1">
      <c r="B65" s="23" t="s">
        <v>18</v>
      </c>
      <c r="C65" s="24">
        <v>0</v>
      </c>
      <c r="D65" s="24">
        <v>0</v>
      </c>
      <c r="E65" s="24">
        <f>CuidadoPersonal2549[[#This Row],[Costo previsto]]-CuidadoPersonal2549[[#This Row],[Coste real]]</f>
        <v>0</v>
      </c>
      <c r="F65" s="9"/>
      <c r="G65" s="35" t="s">
        <v>91</v>
      </c>
      <c r="H65" s="35"/>
      <c r="I65" s="35"/>
      <c r="J65" s="40">
        <f>J61-J63</f>
        <v>0</v>
      </c>
    </row>
    <row r="66" spans="2:10" ht="24.95" customHeight="1">
      <c r="B66" s="25" t="s">
        <v>19</v>
      </c>
      <c r="C66" s="26">
        <f>SUBTOTAL(109,CuidadoPersonal2549[Costo previsto])</f>
        <v>0</v>
      </c>
      <c r="D66" s="26">
        <f>SUBTOTAL(109,CuidadoPersonal2549[Coste real])</f>
        <v>0</v>
      </c>
      <c r="E66" s="26">
        <f>SUBTOTAL(109,CuidadoPersonal2549[Diferencia])</f>
        <v>0</v>
      </c>
      <c r="F66" s="9"/>
      <c r="G66" s="35"/>
      <c r="H66" s="35"/>
      <c r="I66" s="35"/>
      <c r="J66" s="40"/>
    </row>
    <row r="67" spans="2:10">
      <c r="B67" s="42"/>
      <c r="C67" s="42"/>
      <c r="D67" s="42"/>
      <c r="E67" s="42"/>
    </row>
  </sheetData>
  <mergeCells count="26">
    <mergeCell ref="G63:I64"/>
    <mergeCell ref="J63:J64"/>
    <mergeCell ref="G65:I66"/>
    <mergeCell ref="J65:J66"/>
    <mergeCell ref="B67:E67"/>
    <mergeCell ref="G61:I62"/>
    <mergeCell ref="J61:J62"/>
    <mergeCell ref="G25:J25"/>
    <mergeCell ref="B26:E26"/>
    <mergeCell ref="G34:J34"/>
    <mergeCell ref="B36:E36"/>
    <mergeCell ref="G41:J41"/>
    <mergeCell ref="B43:E43"/>
    <mergeCell ref="G47:J47"/>
    <mergeCell ref="B49:E49"/>
    <mergeCell ref="G53:J53"/>
    <mergeCell ref="B57:E57"/>
    <mergeCell ref="G60:J60"/>
    <mergeCell ref="E8:G9"/>
    <mergeCell ref="H8:H9"/>
    <mergeCell ref="B9:C9"/>
    <mergeCell ref="B4:C4"/>
    <mergeCell ref="E4:G5"/>
    <mergeCell ref="H4:H5"/>
    <mergeCell ref="E6:G7"/>
    <mergeCell ref="H6:H7"/>
  </mergeCells>
  <dataValidations count="12">
    <dataValidation allowBlank="1" showInputMessage="1" showErrorMessage="1" prompt="Cree un presupuesto mensual personal en esta hoja de cálculo. Encontrará instrucciones útiles sobre cómo usar este libro en las celdas de esta columna. Use la flecha hacia abajo para empezar." sqref="A1"/>
    <dataValidation allowBlank="1" showInputMessage="1" showErrorMessage="1" prompt="El título de esta hoja de cálculo está en la celda C2. La instrucción siguiente se encuentra en la celda A4." sqref="A2"/>
    <dataValidation allowBlank="1" showInputMessage="1" showErrorMessage="1" prompt="La etiqueta Ingresos mensuales previstos está en la celda de la derecha. Escriba el Ingreso 1 en la celda C5 y el Ingreso adicional en la C6 para calcular el total de ingresos mensuales en la celda C7. La instrucción siguiente se encuentra en la celda A7." sqref="A4"/>
    <dataValidation allowBlank="1" showInputMessage="1" showErrorMessage="1" prompt="El saldo previsto se calcula automáticamente en la celda H4; el saldo real, en la H6; y la diferencia, en la celda H8. La instrucción siguiente se encuentra en la celda A9." sqref="A7"/>
    <dataValidation allowBlank="1" showInputMessage="1" showErrorMessage="1" prompt="La etiqueta Ingresos mensuales reales está en la celda de la derecha. Escriba el Ingreso 1 en la celda C10 y el Ingreso adicional en la C11 para calcular el total de ingresos mensuales en la celda C12. La instrucción siguiente está en la celda A14." sqref="A9"/>
    <dataValidation allowBlank="1" showInputMessage="1" showErrorMessage="1" prompt="Escriba la información en la tabla Alojamiento, empezando por la celda de la derecha y en la tabla Entretenimiento, empezando por la celda G14. La instrucción siguiente se encuentra en la celda A27." sqref="A14"/>
    <dataValidation allowBlank="1" showInputMessage="1" showErrorMessage="1" prompt="Escriba la información en la tabla Transporte, empezando por la celda de la derecha y en la tabla Préstamos, empezando por la celda G26. La instrucción siguiente se encuentra en la celda A37." sqref="A27"/>
    <dataValidation allowBlank="1" showInputMessage="1" showErrorMessage="1" prompt="Escriba la información en la tabla Seguro, empezando por la celda de la derecha y en la tabla Impuestos, empezando por la celda G35. La instrucción siguiente se encuentra en la celda A44." sqref="A37"/>
    <dataValidation allowBlank="1" showInputMessage="1" showErrorMessage="1" prompt="Escriba la información en la tabla Comida, empezando por la celda de la derecha y en la tabla Ahorros, empezando por la celda G42. La instrucción siguiente se encuentra en la celda A50." sqref="A44"/>
    <dataValidation allowBlank="1" showInputMessage="1" showErrorMessage="1" prompt="Escriba la información en la tabla Mascotas, empezando por la celda de la derecha y en la tabla Regalos, empezando por la celda G48. La instrucción siguiente se encuentra en la celda A58." sqref="A50"/>
    <dataValidation allowBlank="1" showInputMessage="1" showErrorMessage="1" prompt="Escriba la información en la tabla Cuidado personal, empezando por la celda de la derecha y en la tabla Legal, empezando por la celda G54. La instrucción siguiente se encuentra en la celda A61." sqref="A58"/>
    <dataValidation allowBlank="1" showInputMessage="1" showErrorMessage="1" prompt="El total de gastos previstos se calcula automáticamente en la celda J61; el total del gasto real, en la J63; y la diferencia total, en la celda J65." sqref="A61"/>
  </dataValidations>
  <pageMargins left="0.7" right="0.7" top="0.75" bottom="0.75" header="0.3" footer="0.3"/>
  <pageSetup paperSize="9" orientation="portrait" r:id="rId1"/>
  <drawing r:id="rId2"/>
  <tableParts count="12">
    <tablePart r:id="rId3"/>
    <tablePart r:id="rId4"/>
    <tablePart r:id="rId5"/>
    <tablePart r:id="rId6"/>
    <tablePart r:id="rId7"/>
    <tablePart r:id="rId8"/>
    <tablePart r:id="rId9"/>
    <tablePart r:id="rId10"/>
    <tablePart r:id="rId11"/>
    <tablePart r:id="rId12"/>
    <tablePart r:id="rId13"/>
    <tablePart r:id="rId1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O67"/>
  <sheetViews>
    <sheetView zoomScale="70" zoomScaleNormal="70" workbookViewId="0">
      <selection activeCell="G70" sqref="G70"/>
    </sheetView>
  </sheetViews>
  <sheetFormatPr baseColWidth="10" defaultColWidth="9" defaultRowHeight="12.75"/>
  <cols>
    <col min="1" max="1" width="2.625" style="4" customWidth="1"/>
    <col min="2" max="2" width="34.875" customWidth="1"/>
    <col min="3" max="3" width="20.875" customWidth="1"/>
    <col min="4" max="4" width="17.625" customWidth="1"/>
    <col min="5" max="5" width="16" customWidth="1"/>
    <col min="6" max="6" width="2.625" customWidth="1"/>
    <col min="7" max="7" width="34.875" customWidth="1"/>
    <col min="8" max="8" width="19.625" customWidth="1"/>
    <col min="9" max="9" width="16.25" customWidth="1"/>
    <col min="10" max="10" width="17.625" customWidth="1"/>
    <col min="11" max="11" width="2.625" customWidth="1"/>
  </cols>
  <sheetData>
    <row r="1" spans="1:15" s="1" customFormat="1" ht="14.25">
      <c r="A1" s="3" t="s">
        <v>2</v>
      </c>
    </row>
    <row r="2" spans="1:15" s="1" customFormat="1" ht="71.25" customHeight="1">
      <c r="A2" s="10" t="s">
        <v>3</v>
      </c>
      <c r="B2" s="12"/>
      <c r="C2" s="13"/>
      <c r="D2" s="14"/>
      <c r="E2" s="14"/>
      <c r="F2" s="14"/>
      <c r="G2" s="14"/>
      <c r="H2" s="14"/>
      <c r="I2" s="15"/>
      <c r="J2" s="15"/>
      <c r="K2" s="12"/>
    </row>
    <row r="3" spans="1:15">
      <c r="B3" s="16"/>
      <c r="C3" s="16"/>
      <c r="D3" s="16"/>
      <c r="E3" s="16"/>
      <c r="F3" s="16"/>
      <c r="G3" s="16"/>
      <c r="H3" s="16"/>
      <c r="I3" s="16"/>
      <c r="J3" s="16"/>
      <c r="K3" s="16"/>
    </row>
    <row r="4" spans="1:15" ht="24.95" customHeight="1">
      <c r="A4" s="4" t="s">
        <v>4</v>
      </c>
      <c r="B4" s="37" t="s">
        <v>67</v>
      </c>
      <c r="C4" s="39"/>
      <c r="D4" s="6"/>
      <c r="E4" s="35" t="s">
        <v>92</v>
      </c>
      <c r="F4" s="35"/>
      <c r="G4" s="35"/>
      <c r="H4" s="36">
        <f>C7-J61</f>
        <v>0</v>
      </c>
    </row>
    <row r="5" spans="1:15" ht="24.95" customHeight="1">
      <c r="B5" s="17" t="s">
        <v>14</v>
      </c>
      <c r="C5" s="18">
        <v>0</v>
      </c>
      <c r="E5" s="35"/>
      <c r="F5" s="35"/>
      <c r="G5" s="35"/>
      <c r="H5" s="36"/>
      <c r="I5" s="7"/>
    </row>
    <row r="6" spans="1:15" ht="24.95" customHeight="1">
      <c r="B6" s="17" t="s">
        <v>69</v>
      </c>
      <c r="C6" s="18">
        <v>0</v>
      </c>
      <c r="E6" s="35" t="s">
        <v>93</v>
      </c>
      <c r="F6" s="35"/>
      <c r="G6" s="35"/>
      <c r="H6" s="36">
        <f>C12-J63</f>
        <v>0</v>
      </c>
      <c r="I6" s="7"/>
    </row>
    <row r="7" spans="1:15" ht="24.95" customHeight="1">
      <c r="A7" s="4" t="s">
        <v>5</v>
      </c>
      <c r="B7" s="17" t="s">
        <v>70</v>
      </c>
      <c r="C7" s="20">
        <f>SUM(C5:C6)</f>
        <v>0</v>
      </c>
      <c r="E7" s="35"/>
      <c r="F7" s="35"/>
      <c r="G7" s="35"/>
      <c r="H7" s="36"/>
      <c r="I7" s="7"/>
    </row>
    <row r="8" spans="1:15" ht="24.95" customHeight="1">
      <c r="B8" s="2"/>
      <c r="C8" s="2"/>
      <c r="D8" s="2"/>
      <c r="E8" s="35" t="s">
        <v>94</v>
      </c>
      <c r="F8" s="35"/>
      <c r="G8" s="35"/>
      <c r="H8" s="36">
        <f>H6-H4</f>
        <v>0</v>
      </c>
      <c r="I8" s="7"/>
    </row>
    <row r="9" spans="1:15" ht="24.95" customHeight="1">
      <c r="A9" s="4" t="s">
        <v>6</v>
      </c>
      <c r="B9" s="37" t="s">
        <v>68</v>
      </c>
      <c r="C9" s="38"/>
      <c r="D9" s="6"/>
      <c r="E9" s="35"/>
      <c r="F9" s="35"/>
      <c r="G9" s="35"/>
      <c r="H9" s="36"/>
      <c r="I9" s="8"/>
    </row>
    <row r="10" spans="1:15" ht="24.95" customHeight="1">
      <c r="B10" s="17" t="s">
        <v>99</v>
      </c>
      <c r="C10" s="18">
        <v>0</v>
      </c>
      <c r="I10" s="7"/>
    </row>
    <row r="11" spans="1:15" ht="24.95" customHeight="1">
      <c r="B11" s="17" t="s">
        <v>69</v>
      </c>
      <c r="C11" s="18">
        <v>0</v>
      </c>
      <c r="E11" s="7"/>
      <c r="H11" s="11"/>
      <c r="I11" s="11"/>
    </row>
    <row r="12" spans="1:15" ht="24.95" customHeight="1">
      <c r="B12" s="19" t="s">
        <v>70</v>
      </c>
      <c r="C12" s="20">
        <f>SUM(C10:C11)</f>
        <v>0</v>
      </c>
    </row>
    <row r="14" spans="1:15" ht="24.95" customHeight="1">
      <c r="A14" s="4" t="s">
        <v>7</v>
      </c>
      <c r="B14" s="21" t="s">
        <v>74</v>
      </c>
      <c r="C14" s="21" t="s">
        <v>76</v>
      </c>
      <c r="D14" s="21" t="s">
        <v>75</v>
      </c>
      <c r="E14" s="21" t="s">
        <v>77</v>
      </c>
      <c r="F14" s="9"/>
      <c r="G14" s="21" t="s">
        <v>44</v>
      </c>
      <c r="H14" s="21" t="s">
        <v>76</v>
      </c>
      <c r="I14" s="21" t="s">
        <v>75</v>
      </c>
      <c r="J14" s="21" t="s">
        <v>77</v>
      </c>
      <c r="O14" s="22"/>
    </row>
    <row r="15" spans="1:15" ht="25.5" customHeight="1">
      <c r="B15" s="23" t="s">
        <v>78</v>
      </c>
      <c r="C15" s="24">
        <v>0</v>
      </c>
      <c r="D15" s="24">
        <v>0</v>
      </c>
      <c r="E15" s="24">
        <f>Alojamiento143850[[#This Row],[COSTO PREVISTO]]-Alojamiento143850[[#This Row],[COSTO REAL]]</f>
        <v>0</v>
      </c>
      <c r="F15" s="9"/>
      <c r="G15" s="23" t="s">
        <v>45</v>
      </c>
      <c r="H15" s="24">
        <v>0</v>
      </c>
      <c r="I15" s="24">
        <v>0</v>
      </c>
      <c r="J15" s="24">
        <f>Entretenimiento153951[[#This Row],[COSTO PREVISTO]]-Entretenimiento153951[[#This Row],[COSTO REAL]]</f>
        <v>0</v>
      </c>
    </row>
    <row r="16" spans="1:15" ht="24.95" customHeight="1">
      <c r="B16" s="23" t="s">
        <v>61</v>
      </c>
      <c r="C16" s="24">
        <v>0</v>
      </c>
      <c r="D16" s="24">
        <v>0</v>
      </c>
      <c r="E16" s="24">
        <f>Alojamiento143850[[#This Row],[COSTO PREVISTO]]-Alojamiento143850[[#This Row],[COSTO REAL]]</f>
        <v>0</v>
      </c>
      <c r="F16" s="9"/>
      <c r="G16" s="23" t="s">
        <v>46</v>
      </c>
      <c r="H16" s="24">
        <v>0</v>
      </c>
      <c r="I16" s="24">
        <v>0</v>
      </c>
      <c r="J16" s="24">
        <f>Entretenimiento153951[[#This Row],[COSTO PREVISTO]]-Entretenimiento153951[[#This Row],[COSTO REAL]]</f>
        <v>0</v>
      </c>
    </row>
    <row r="17" spans="1:10" ht="24.95" customHeight="1">
      <c r="B17" s="23" t="s">
        <v>15</v>
      </c>
      <c r="C17" s="24">
        <v>0</v>
      </c>
      <c r="D17" s="24">
        <v>0</v>
      </c>
      <c r="E17" s="24">
        <f>Alojamiento143850[[#This Row],[COSTO PREVISTO]]-Alojamiento143850[[#This Row],[COSTO REAL]]</f>
        <v>0</v>
      </c>
      <c r="F17" s="9"/>
      <c r="G17" s="23" t="s">
        <v>47</v>
      </c>
      <c r="H17" s="24">
        <v>0</v>
      </c>
      <c r="I17" s="24">
        <v>0</v>
      </c>
      <c r="J17" s="24">
        <f>Entretenimiento153951[[#This Row],[COSTO PREVISTO]]-Entretenimiento153951[[#This Row],[COSTO REAL]]</f>
        <v>0</v>
      </c>
    </row>
    <row r="18" spans="1:10" ht="24.95" customHeight="1">
      <c r="B18" s="23" t="s">
        <v>16</v>
      </c>
      <c r="C18" s="24">
        <v>0</v>
      </c>
      <c r="D18" s="24">
        <v>0</v>
      </c>
      <c r="E18" s="24">
        <f>Alojamiento143850[[#This Row],[COSTO PREVISTO]]-Alojamiento143850[[#This Row],[COSTO REAL]]</f>
        <v>0</v>
      </c>
      <c r="F18" s="9"/>
      <c r="G18" s="23" t="s">
        <v>48</v>
      </c>
      <c r="H18" s="24">
        <v>0</v>
      </c>
      <c r="I18" s="24">
        <v>0</v>
      </c>
      <c r="J18" s="24">
        <f>Entretenimiento153951[[#This Row],[COSTO PREVISTO]]-Entretenimiento153951[[#This Row],[COSTO REAL]]</f>
        <v>0</v>
      </c>
    </row>
    <row r="19" spans="1:10" ht="24.95" customHeight="1">
      <c r="B19" s="23" t="s">
        <v>71</v>
      </c>
      <c r="C19" s="24">
        <v>0</v>
      </c>
      <c r="D19" s="24">
        <v>0</v>
      </c>
      <c r="E19" s="24">
        <f>Alojamiento143850[[#This Row],[COSTO PREVISTO]]-Alojamiento143850[[#This Row],[COSTO REAL]]</f>
        <v>0</v>
      </c>
      <c r="F19" s="9"/>
      <c r="G19" s="23" t="s">
        <v>82</v>
      </c>
      <c r="H19" s="24">
        <v>0</v>
      </c>
      <c r="I19" s="24">
        <v>0</v>
      </c>
      <c r="J19" s="24">
        <f>Entretenimiento153951[[#This Row],[COSTO PREVISTO]]-Entretenimiento153951[[#This Row],[COSTO REAL]]</f>
        <v>0</v>
      </c>
    </row>
    <row r="20" spans="1:10" ht="24.95" customHeight="1">
      <c r="B20" s="23" t="s">
        <v>72</v>
      </c>
      <c r="C20" s="24">
        <v>0</v>
      </c>
      <c r="D20" s="24">
        <v>0</v>
      </c>
      <c r="E20" s="24">
        <f>Alojamiento143850[[#This Row],[COSTO PREVISTO]]-Alojamiento143850[[#This Row],[COSTO REAL]]</f>
        <v>0</v>
      </c>
      <c r="F20" s="9"/>
      <c r="G20" s="23" t="s">
        <v>49</v>
      </c>
      <c r="H20" s="24">
        <v>0</v>
      </c>
      <c r="I20" s="24">
        <v>0</v>
      </c>
      <c r="J20" s="24">
        <f>Entretenimiento153951[[#This Row],[COSTO PREVISTO]]-Entretenimiento153951[[#This Row],[COSTO REAL]]</f>
        <v>0</v>
      </c>
    </row>
    <row r="21" spans="1:10" ht="24.95" customHeight="1">
      <c r="B21" s="23" t="s">
        <v>81</v>
      </c>
      <c r="C21" s="24">
        <v>0</v>
      </c>
      <c r="D21" s="24">
        <v>0</v>
      </c>
      <c r="E21" s="24">
        <f>Alojamiento143850[[#This Row],[COSTO PREVISTO]]-Alojamiento143850[[#This Row],[COSTO REAL]]</f>
        <v>0</v>
      </c>
      <c r="F21" s="9"/>
      <c r="G21" s="23" t="s">
        <v>18</v>
      </c>
      <c r="H21" s="24">
        <v>0</v>
      </c>
      <c r="I21" s="24">
        <v>0</v>
      </c>
      <c r="J21" s="24">
        <f>Entretenimiento153951[[#This Row],[COSTO PREVISTO]]-Entretenimiento153951[[#This Row],[COSTO REAL]]</f>
        <v>0</v>
      </c>
    </row>
    <row r="22" spans="1:10" ht="24.95" customHeight="1">
      <c r="B22" s="23" t="s">
        <v>73</v>
      </c>
      <c r="C22" s="24">
        <v>0</v>
      </c>
      <c r="D22" s="24">
        <v>0</v>
      </c>
      <c r="E22" s="24">
        <f>Alojamiento143850[[#This Row],[COSTO PREVISTO]]-Alojamiento143850[[#This Row],[COSTO REAL]]</f>
        <v>0</v>
      </c>
      <c r="F22" s="9"/>
      <c r="G22" s="23" t="s">
        <v>18</v>
      </c>
      <c r="H22" s="24">
        <v>0</v>
      </c>
      <c r="I22" s="24">
        <v>0</v>
      </c>
      <c r="J22" s="24">
        <f>Entretenimiento153951[[#This Row],[COSTO PREVISTO]]-Entretenimiento153951[[#This Row],[COSTO REAL]]</f>
        <v>0</v>
      </c>
    </row>
    <row r="23" spans="1:10" ht="24.95" customHeight="1">
      <c r="B23" s="23" t="s">
        <v>17</v>
      </c>
      <c r="C23" s="24">
        <v>0</v>
      </c>
      <c r="D23" s="24">
        <v>0</v>
      </c>
      <c r="E23" s="24">
        <f>Alojamiento143850[[#This Row],[COSTO PREVISTO]]-Alojamiento143850[[#This Row],[COSTO REAL]]</f>
        <v>0</v>
      </c>
      <c r="F23" s="9"/>
      <c r="G23" s="23" t="s">
        <v>18</v>
      </c>
      <c r="H23" s="24">
        <v>0</v>
      </c>
      <c r="I23" s="24">
        <v>0</v>
      </c>
      <c r="J23" s="24">
        <f>Entretenimiento153951[[#This Row],[COSTO PREVISTO]]-Entretenimiento153951[[#This Row],[COSTO REAL]]</f>
        <v>0</v>
      </c>
    </row>
    <row r="24" spans="1:10" ht="24.95" customHeight="1">
      <c r="B24" s="23" t="s">
        <v>18</v>
      </c>
      <c r="C24" s="24">
        <v>0</v>
      </c>
      <c r="D24" s="24">
        <v>0</v>
      </c>
      <c r="E24" s="24">
        <f>Alojamiento143850[[#This Row],[COSTO PREVISTO]]-Alojamiento143850[[#This Row],[COSTO REAL]]</f>
        <v>0</v>
      </c>
      <c r="F24" s="9"/>
      <c r="G24" s="25" t="s">
        <v>19</v>
      </c>
      <c r="H24" s="27" t="s">
        <v>66</v>
      </c>
      <c r="I24" s="27" t="s">
        <v>66</v>
      </c>
      <c r="J24" s="26">
        <f>SUBTOTAL(109,Entretenimiento153951[DIFERENCIA])</f>
        <v>0</v>
      </c>
    </row>
    <row r="25" spans="1:10" ht="24.95" customHeight="1">
      <c r="B25" s="25" t="s">
        <v>19</v>
      </c>
      <c r="C25" s="26">
        <f>SUBTOTAL(109,Alojamiento143850[COSTO PREVISTO])</f>
        <v>0</v>
      </c>
      <c r="D25" s="26">
        <f>SUBTOTAL(109,Alojamiento143850[COSTO REAL])</f>
        <v>0</v>
      </c>
      <c r="E25" s="26">
        <f>SUBTOTAL(109,Alojamiento143850[DIFERENCIA])</f>
        <v>0</v>
      </c>
      <c r="F25" s="9"/>
      <c r="G25" s="41"/>
      <c r="H25" s="41"/>
      <c r="I25" s="41"/>
      <c r="J25" s="41"/>
    </row>
    <row r="26" spans="1:10" ht="24.95" customHeight="1">
      <c r="B26" s="41"/>
      <c r="C26" s="41"/>
      <c r="D26" s="41"/>
      <c r="E26" s="41"/>
      <c r="F26" s="9"/>
      <c r="G26" s="21" t="s">
        <v>50</v>
      </c>
      <c r="H26" s="21" t="s">
        <v>76</v>
      </c>
      <c r="I26" s="21" t="s">
        <v>75</v>
      </c>
      <c r="J26" s="21" t="s">
        <v>77</v>
      </c>
    </row>
    <row r="27" spans="1:10" ht="24.95" customHeight="1">
      <c r="A27" s="4" t="s">
        <v>8</v>
      </c>
      <c r="B27" s="21" t="s">
        <v>20</v>
      </c>
      <c r="C27" s="21" t="s">
        <v>40</v>
      </c>
      <c r="D27" s="21" t="s">
        <v>41</v>
      </c>
      <c r="E27" s="21" t="s">
        <v>43</v>
      </c>
      <c r="F27" s="9"/>
      <c r="G27" s="23" t="s">
        <v>51</v>
      </c>
      <c r="H27" s="24">
        <v>0</v>
      </c>
      <c r="I27" s="24">
        <v>0</v>
      </c>
      <c r="J27" s="24">
        <f>Prestamos164052[[#This Row],[COSTO PREVISTO]]-Prestamos164052[[#This Row],[COSTO REAL]]</f>
        <v>0</v>
      </c>
    </row>
    <row r="28" spans="1:10" ht="24.95" customHeight="1">
      <c r="B28" s="23" t="s">
        <v>62</v>
      </c>
      <c r="C28" s="24">
        <v>0</v>
      </c>
      <c r="D28" s="24">
        <v>0</v>
      </c>
      <c r="E28" s="24">
        <f>Transporte174153[[#This Row],[Costo previsto]]-Transporte174153[[#This Row],[Costo real]]</f>
        <v>0</v>
      </c>
      <c r="F28" s="9"/>
      <c r="G28" s="23" t="s">
        <v>52</v>
      </c>
      <c r="H28" s="24">
        <v>0</v>
      </c>
      <c r="I28" s="24">
        <v>0</v>
      </c>
      <c r="J28" s="24">
        <f>Prestamos164052[[#This Row],[COSTO PREVISTO]]-Prestamos164052[[#This Row],[COSTO REAL]]</f>
        <v>0</v>
      </c>
    </row>
    <row r="29" spans="1:10" ht="24.95" customHeight="1">
      <c r="B29" s="23" t="s">
        <v>83</v>
      </c>
      <c r="C29" s="24">
        <v>0</v>
      </c>
      <c r="D29" s="24">
        <v>0</v>
      </c>
      <c r="E29" s="24">
        <f>Transporte174153[[#This Row],[Costo previsto]]-Transporte174153[[#This Row],[Costo real]]</f>
        <v>0</v>
      </c>
      <c r="F29" s="9"/>
      <c r="G29" s="23" t="s">
        <v>53</v>
      </c>
      <c r="H29" s="24">
        <v>0</v>
      </c>
      <c r="I29" s="24">
        <v>0</v>
      </c>
      <c r="J29" s="24">
        <f>Prestamos164052[[#This Row],[COSTO PREVISTO]]-Prestamos164052[[#This Row],[COSTO REAL]]</f>
        <v>0</v>
      </c>
    </row>
    <row r="30" spans="1:10" ht="24.95" customHeight="1">
      <c r="B30" s="23" t="s">
        <v>21</v>
      </c>
      <c r="C30" s="24">
        <v>0</v>
      </c>
      <c r="D30" s="24">
        <v>0</v>
      </c>
      <c r="E30" s="24">
        <f>Transporte174153[[#This Row],[Costo previsto]]-Transporte174153[[#This Row],[Costo real]]</f>
        <v>0</v>
      </c>
      <c r="F30" s="9"/>
      <c r="G30" s="23" t="s">
        <v>53</v>
      </c>
      <c r="H30" s="24">
        <v>0</v>
      </c>
      <c r="I30" s="24">
        <v>0</v>
      </c>
      <c r="J30" s="24">
        <f>Prestamos164052[[#This Row],[COSTO PREVISTO]]-Prestamos164052[[#This Row],[COSTO REAL]]</f>
        <v>0</v>
      </c>
    </row>
    <row r="31" spans="1:10" ht="24.95" customHeight="1">
      <c r="B31" s="23" t="s">
        <v>22</v>
      </c>
      <c r="C31" s="24">
        <v>0</v>
      </c>
      <c r="D31" s="24">
        <v>0</v>
      </c>
      <c r="E31" s="24">
        <f>Transporte174153[[#This Row],[Costo previsto]]-Transporte174153[[#This Row],[Costo real]]</f>
        <v>0</v>
      </c>
      <c r="F31" s="9"/>
      <c r="G31" s="23" t="s">
        <v>53</v>
      </c>
      <c r="H31" s="24">
        <v>0</v>
      </c>
      <c r="I31" s="24">
        <v>0</v>
      </c>
      <c r="J31" s="24">
        <f>Prestamos164052[[#This Row],[COSTO PREVISTO]]-Prestamos164052[[#This Row],[COSTO REAL]]</f>
        <v>0</v>
      </c>
    </row>
    <row r="32" spans="1:10" ht="24.95" customHeight="1">
      <c r="B32" s="23" t="s">
        <v>23</v>
      </c>
      <c r="C32" s="24">
        <v>0</v>
      </c>
      <c r="D32" s="24">
        <v>0</v>
      </c>
      <c r="E32" s="24">
        <f>Transporte174153[[#This Row],[Costo previsto]]-Transporte174153[[#This Row],[Costo real]]</f>
        <v>0</v>
      </c>
      <c r="F32" s="9"/>
      <c r="G32" s="23" t="s">
        <v>18</v>
      </c>
      <c r="H32" s="24">
        <v>0</v>
      </c>
      <c r="I32" s="24">
        <v>0</v>
      </c>
      <c r="J32" s="24">
        <f>Prestamos164052[[#This Row],[COSTO PREVISTO]]-Prestamos164052[[#This Row],[COSTO REAL]]</f>
        <v>0</v>
      </c>
    </row>
    <row r="33" spans="1:10" ht="24.95" customHeight="1">
      <c r="B33" s="23" t="s">
        <v>24</v>
      </c>
      <c r="C33" s="24">
        <v>0</v>
      </c>
      <c r="D33" s="24">
        <v>0</v>
      </c>
      <c r="E33" s="24">
        <f>Transporte174153[[#This Row],[Costo previsto]]-Transporte174153[[#This Row],[Costo real]]</f>
        <v>0</v>
      </c>
      <c r="F33" s="9"/>
      <c r="G33" s="25" t="s">
        <v>19</v>
      </c>
      <c r="H33" s="27" t="s">
        <v>66</v>
      </c>
      <c r="I33" s="27" t="s">
        <v>66</v>
      </c>
      <c r="J33" s="26">
        <f>SUBTOTAL(109,Prestamos164052[DIFERENCIA])</f>
        <v>0</v>
      </c>
    </row>
    <row r="34" spans="1:10" ht="24.95" customHeight="1">
      <c r="B34" s="23" t="s">
        <v>64</v>
      </c>
      <c r="C34" s="24">
        <v>0</v>
      </c>
      <c r="D34" s="24">
        <v>0</v>
      </c>
      <c r="E34" s="24">
        <f>Transporte174153[[#This Row],[Costo previsto]]-Transporte174153[[#This Row],[Costo real]]</f>
        <v>0</v>
      </c>
      <c r="F34" s="9"/>
      <c r="G34" s="41"/>
      <c r="H34" s="41"/>
      <c r="I34" s="41"/>
      <c r="J34" s="41"/>
    </row>
    <row r="35" spans="1:10" ht="24.95" customHeight="1">
      <c r="B35" s="25" t="s">
        <v>19</v>
      </c>
      <c r="C35" s="26">
        <f>SUBTOTAL(109,Transporte174153[Costo previsto])</f>
        <v>0</v>
      </c>
      <c r="D35" s="26">
        <f>SUBTOTAL(109,Transporte174153[Costo real])</f>
        <v>0</v>
      </c>
      <c r="E35" s="26">
        <f>SUBTOTAL(109,Transporte174153[Diferencia])</f>
        <v>0</v>
      </c>
      <c r="F35" s="9"/>
      <c r="G35" s="21" t="s">
        <v>54</v>
      </c>
      <c r="H35" s="21" t="s">
        <v>76</v>
      </c>
      <c r="I35" s="21" t="s">
        <v>75</v>
      </c>
      <c r="J35" s="21" t="s">
        <v>77</v>
      </c>
    </row>
    <row r="36" spans="1:10" ht="24.95" customHeight="1">
      <c r="B36" s="41"/>
      <c r="C36" s="41"/>
      <c r="D36" s="41"/>
      <c r="E36" s="41"/>
      <c r="F36" s="9"/>
      <c r="G36" s="23" t="s">
        <v>55</v>
      </c>
      <c r="H36" s="24">
        <v>0</v>
      </c>
      <c r="I36" s="24">
        <v>0</v>
      </c>
      <c r="J36" s="24">
        <f>Impuestos194355[[#This Row],[COSTO PREVISTO]]-Impuestos194355[[#This Row],[COSTO REAL]]</f>
        <v>0</v>
      </c>
    </row>
    <row r="37" spans="1:10" ht="24.95" customHeight="1">
      <c r="A37" s="4" t="s">
        <v>9</v>
      </c>
      <c r="B37" s="21" t="s">
        <v>25</v>
      </c>
      <c r="C37" s="21" t="s">
        <v>76</v>
      </c>
      <c r="D37" s="21" t="s">
        <v>75</v>
      </c>
      <c r="E37" s="21" t="s">
        <v>77</v>
      </c>
      <c r="F37" s="9"/>
      <c r="G37" s="23" t="s">
        <v>56</v>
      </c>
      <c r="H37" s="24">
        <v>0</v>
      </c>
      <c r="I37" s="24">
        <v>0</v>
      </c>
      <c r="J37" s="24">
        <f>Impuestos194355[[#This Row],[COSTO PREVISTO]]-Impuestos194355[[#This Row],[COSTO REAL]]</f>
        <v>0</v>
      </c>
    </row>
    <row r="38" spans="1:10" ht="24.95" customHeight="1">
      <c r="B38" s="23" t="s">
        <v>26</v>
      </c>
      <c r="C38" s="24">
        <v>0</v>
      </c>
      <c r="D38" s="24">
        <v>0</v>
      </c>
      <c r="E38" s="24">
        <f>Seguro184254[[#This Row],[COSTO PREVISTO]]-Seguro184254[[#This Row],[COSTO REAL]]</f>
        <v>0</v>
      </c>
      <c r="F38" s="9"/>
      <c r="G38" s="23" t="s">
        <v>57</v>
      </c>
      <c r="H38" s="24">
        <v>0</v>
      </c>
      <c r="I38" s="24">
        <v>0</v>
      </c>
      <c r="J38" s="24">
        <f>Impuestos194355[[#This Row],[COSTO PREVISTO]]-Impuestos194355[[#This Row],[COSTO REAL]]</f>
        <v>0</v>
      </c>
    </row>
    <row r="39" spans="1:10" ht="24.95" customHeight="1">
      <c r="B39" s="23" t="s">
        <v>98</v>
      </c>
      <c r="C39" s="24">
        <v>0</v>
      </c>
      <c r="D39" s="24">
        <v>0</v>
      </c>
      <c r="E39" s="24">
        <f>Seguro184254[[#This Row],[COSTO PREVISTO]]-Seguro184254[[#This Row],[COSTO REAL]]</f>
        <v>0</v>
      </c>
      <c r="F39" s="9"/>
      <c r="G39" s="23" t="s">
        <v>18</v>
      </c>
      <c r="H39" s="24">
        <v>0</v>
      </c>
      <c r="I39" s="24">
        <v>0</v>
      </c>
      <c r="J39" s="24">
        <f>Impuestos194355[[#This Row],[COSTO PREVISTO]]-Impuestos194355[[#This Row],[COSTO REAL]]</f>
        <v>0</v>
      </c>
    </row>
    <row r="40" spans="1:10" ht="24.95" customHeight="1">
      <c r="B40" s="23" t="s">
        <v>27</v>
      </c>
      <c r="C40" s="24">
        <v>0</v>
      </c>
      <c r="D40" s="24">
        <v>0</v>
      </c>
      <c r="E40" s="24">
        <f>Seguro184254[[#This Row],[COSTO PREVISTO]]-Seguro184254[[#This Row],[COSTO REAL]]</f>
        <v>0</v>
      </c>
      <c r="F40" s="9"/>
      <c r="G40" s="25" t="s">
        <v>19</v>
      </c>
      <c r="H40" s="27" t="s">
        <v>66</v>
      </c>
      <c r="I40" s="27" t="s">
        <v>66</v>
      </c>
      <c r="J40" s="26">
        <f>SUBTOTAL(109,Impuestos194355[DIFERENCIA])</f>
        <v>0</v>
      </c>
    </row>
    <row r="41" spans="1:10" ht="24.95" customHeight="1">
      <c r="B41" s="23" t="s">
        <v>18</v>
      </c>
      <c r="C41" s="24">
        <v>0</v>
      </c>
      <c r="D41" s="24">
        <v>0</v>
      </c>
      <c r="E41" s="24">
        <f>Seguro184254[[#This Row],[COSTO PREVISTO]]-Seguro184254[[#This Row],[COSTO REAL]]</f>
        <v>0</v>
      </c>
      <c r="F41" s="9"/>
      <c r="G41" s="41"/>
      <c r="H41" s="41"/>
      <c r="I41" s="41"/>
      <c r="J41" s="41"/>
    </row>
    <row r="42" spans="1:10" ht="24.95" customHeight="1">
      <c r="B42" s="25" t="s">
        <v>19</v>
      </c>
      <c r="C42" s="26">
        <f>SUBTOTAL(109,Seguro184254[COSTO PREVISTO])</f>
        <v>0</v>
      </c>
      <c r="D42" s="26">
        <f>SUBTOTAL(109,Seguro184254[COSTO REAL])</f>
        <v>0</v>
      </c>
      <c r="E42" s="26">
        <f>SUBTOTAL(109,Seguro184254[DIFERENCIA])</f>
        <v>0</v>
      </c>
      <c r="F42" s="9"/>
      <c r="G42" s="21" t="s">
        <v>58</v>
      </c>
      <c r="H42" s="21" t="s">
        <v>76</v>
      </c>
      <c r="I42" s="21" t="s">
        <v>75</v>
      </c>
      <c r="J42" s="21" t="s">
        <v>77</v>
      </c>
    </row>
    <row r="43" spans="1:10" ht="24.95" customHeight="1">
      <c r="B43" s="41"/>
      <c r="C43" s="41"/>
      <c r="D43" s="41"/>
      <c r="E43" s="41"/>
      <c r="F43" s="9"/>
      <c r="G43" s="23" t="s">
        <v>96</v>
      </c>
      <c r="H43" s="24">
        <v>0</v>
      </c>
      <c r="I43" s="24">
        <v>0</v>
      </c>
      <c r="J43" s="24">
        <f>Ahorros204456[[#This Row],[COSTO PREVISTO]]-Ahorros204456[[#This Row],[COSTO REAL]]</f>
        <v>0</v>
      </c>
    </row>
    <row r="44" spans="1:10" ht="24.95" customHeight="1">
      <c r="A44" s="4" t="s">
        <v>10</v>
      </c>
      <c r="B44" s="21" t="s">
        <v>28</v>
      </c>
      <c r="C44" s="21" t="s">
        <v>76</v>
      </c>
      <c r="D44" s="21" t="s">
        <v>75</v>
      </c>
      <c r="E44" s="21" t="s">
        <v>77</v>
      </c>
      <c r="F44" s="9"/>
      <c r="G44" s="23" t="s">
        <v>97</v>
      </c>
      <c r="H44" s="24">
        <v>0</v>
      </c>
      <c r="I44" s="24">
        <v>0</v>
      </c>
      <c r="J44" s="24">
        <f>Ahorros204456[[#This Row],[COSTO PREVISTO]]-Ahorros204456[[#This Row],[COSTO REAL]]</f>
        <v>0</v>
      </c>
    </row>
    <row r="45" spans="1:10" ht="24.95" customHeight="1">
      <c r="B45" s="23" t="s">
        <v>29</v>
      </c>
      <c r="C45" s="24">
        <v>0</v>
      </c>
      <c r="D45" s="24">
        <v>0</v>
      </c>
      <c r="E45" s="24">
        <f>Comida214557[[#This Row],[COSTO PREVISTO]]-Comida214557[[#This Row],[COSTO REAL]]</f>
        <v>0</v>
      </c>
      <c r="F45" s="9"/>
      <c r="G45" s="23" t="s">
        <v>18</v>
      </c>
      <c r="H45" s="24">
        <v>0</v>
      </c>
      <c r="I45" s="24">
        <v>0</v>
      </c>
      <c r="J45" s="24">
        <f>Ahorros204456[[#This Row],[COSTO PREVISTO]]-Ahorros204456[[#This Row],[COSTO REAL]]</f>
        <v>0</v>
      </c>
    </row>
    <row r="46" spans="1:10" ht="24.95" customHeight="1">
      <c r="B46" s="23" t="s">
        <v>30</v>
      </c>
      <c r="C46" s="24">
        <v>0</v>
      </c>
      <c r="D46" s="24">
        <v>0</v>
      </c>
      <c r="E46" s="24">
        <f>Comida214557[[#This Row],[COSTO PREVISTO]]-Comida214557[[#This Row],[COSTO REAL]]</f>
        <v>0</v>
      </c>
      <c r="F46" s="9"/>
      <c r="G46" s="25" t="s">
        <v>19</v>
      </c>
      <c r="H46" s="27" t="s">
        <v>66</v>
      </c>
      <c r="I46" s="27" t="s">
        <v>66</v>
      </c>
      <c r="J46" s="26">
        <f>SUBTOTAL(109,Ahorros204456[DIFERENCIA])</f>
        <v>0</v>
      </c>
    </row>
    <row r="47" spans="1:10" ht="24.95" customHeight="1">
      <c r="B47" s="23" t="s">
        <v>65</v>
      </c>
      <c r="C47" s="24">
        <v>0</v>
      </c>
      <c r="D47" s="24">
        <v>0</v>
      </c>
      <c r="E47" s="24">
        <f>Comida214557[[#This Row],[COSTO PREVISTO]]-Comida214557[[#This Row],[COSTO REAL]]</f>
        <v>0</v>
      </c>
      <c r="F47" s="9"/>
      <c r="G47" s="41"/>
      <c r="H47" s="41"/>
      <c r="I47" s="41"/>
      <c r="J47" s="41"/>
    </row>
    <row r="48" spans="1:10" ht="24.95" customHeight="1">
      <c r="B48" s="25" t="s">
        <v>19</v>
      </c>
      <c r="C48" s="26">
        <f>SUBTOTAL(109,Comida214557[COSTO PREVISTO])</f>
        <v>0</v>
      </c>
      <c r="D48" s="26">
        <f>SUBTOTAL(109,Comida214557[COSTO REAL])</f>
        <v>0</v>
      </c>
      <c r="E48" s="26">
        <f>SUBTOTAL(109,Comida214557[DIFERENCIA])</f>
        <v>0</v>
      </c>
      <c r="F48" s="9"/>
      <c r="G48" s="21" t="s">
        <v>79</v>
      </c>
      <c r="H48" s="21" t="s">
        <v>76</v>
      </c>
      <c r="I48" s="21" t="s">
        <v>80</v>
      </c>
      <c r="J48" s="21" t="s">
        <v>77</v>
      </c>
    </row>
    <row r="49" spans="1:10" ht="24.95" customHeight="1">
      <c r="B49" s="41"/>
      <c r="C49" s="41"/>
      <c r="D49" s="41"/>
      <c r="E49" s="41"/>
      <c r="F49" s="9"/>
      <c r="G49" s="23" t="s">
        <v>85</v>
      </c>
      <c r="H49" s="24">
        <v>0</v>
      </c>
      <c r="I49" s="24">
        <v>0</v>
      </c>
      <c r="J49" s="24">
        <f>Regalos224658[[#This Row],[COSTO PREVISTO]]-Regalos224658[[#This Row],[COSTO REAL ]]</f>
        <v>0</v>
      </c>
    </row>
    <row r="50" spans="1:10" ht="24.95" customHeight="1">
      <c r="A50" s="4" t="s">
        <v>11</v>
      </c>
      <c r="B50" s="21" t="s">
        <v>31</v>
      </c>
      <c r="C50" s="21" t="s">
        <v>76</v>
      </c>
      <c r="D50" s="21" t="s">
        <v>75</v>
      </c>
      <c r="E50" s="21" t="s">
        <v>77</v>
      </c>
      <c r="F50" s="9"/>
      <c r="G50" s="23" t="s">
        <v>84</v>
      </c>
      <c r="H50" s="24">
        <v>0</v>
      </c>
      <c r="I50" s="24">
        <v>0</v>
      </c>
      <c r="J50" s="24">
        <f>Regalos224658[[#This Row],[COSTO PREVISTO]]-Regalos224658[[#This Row],[COSTO REAL ]]</f>
        <v>0</v>
      </c>
    </row>
    <row r="51" spans="1:10" ht="24.95" customHeight="1">
      <c r="B51" s="23" t="s">
        <v>32</v>
      </c>
      <c r="C51" s="24">
        <v>0</v>
      </c>
      <c r="D51" s="24">
        <v>0</v>
      </c>
      <c r="E51" s="24">
        <f>Mascotas234759[[#This Row],[COSTO PREVISTO]]-Mascotas234759[[#This Row],[COSTO REAL]]</f>
        <v>0</v>
      </c>
      <c r="F51" s="9"/>
      <c r="G51" s="23" t="s">
        <v>63</v>
      </c>
      <c r="H51" s="24">
        <v>0</v>
      </c>
      <c r="I51" s="24">
        <v>0</v>
      </c>
      <c r="J51" s="24">
        <f>Regalos224658[[#This Row],[COSTO PREVISTO]]-Regalos224658[[#This Row],[COSTO REAL ]]</f>
        <v>0</v>
      </c>
    </row>
    <row r="52" spans="1:10" ht="24.95" customHeight="1">
      <c r="B52" s="23" t="s">
        <v>33</v>
      </c>
      <c r="C52" s="24">
        <v>0</v>
      </c>
      <c r="D52" s="24">
        <v>0</v>
      </c>
      <c r="E52" s="24">
        <f>Mascotas234759[[#This Row],[COSTO PREVISTO]]-Mascotas234759[[#This Row],[COSTO REAL]]</f>
        <v>0</v>
      </c>
      <c r="F52" s="9"/>
      <c r="G52" s="25" t="s">
        <v>19</v>
      </c>
      <c r="H52" s="27">
        <f>SUBTOTAL(109,Regalos224658[COSTO PREVISTO])</f>
        <v>0</v>
      </c>
      <c r="I52" s="27" t="s">
        <v>66</v>
      </c>
      <c r="J52" s="26">
        <f>SUBTOTAL(109,Regalos224658[DIFERENCIA])</f>
        <v>0</v>
      </c>
    </row>
    <row r="53" spans="1:10" ht="24.95" customHeight="1">
      <c r="B53" s="23" t="s">
        <v>34</v>
      </c>
      <c r="C53" s="24">
        <v>0</v>
      </c>
      <c r="D53" s="24">
        <v>0</v>
      </c>
      <c r="E53" s="24">
        <f>Mascotas234759[[#This Row],[COSTO PREVISTO]]-Mascotas234759[[#This Row],[COSTO REAL]]</f>
        <v>0</v>
      </c>
      <c r="F53" s="9"/>
      <c r="G53" s="41"/>
      <c r="H53" s="41"/>
      <c r="I53" s="41"/>
      <c r="J53" s="41"/>
    </row>
    <row r="54" spans="1:10" ht="24.95" customHeight="1">
      <c r="B54" s="23" t="s">
        <v>35</v>
      </c>
      <c r="C54" s="24">
        <v>0</v>
      </c>
      <c r="D54" s="24">
        <v>0</v>
      </c>
      <c r="E54" s="24">
        <f>Mascotas234759[[#This Row],[COSTO PREVISTO]]-Mascotas234759[[#This Row],[COSTO REAL]]</f>
        <v>0</v>
      </c>
      <c r="F54" s="9"/>
      <c r="G54" s="21" t="s">
        <v>59</v>
      </c>
      <c r="H54" s="21" t="s">
        <v>76</v>
      </c>
      <c r="I54" s="21" t="s">
        <v>75</v>
      </c>
      <c r="J54" s="21" t="s">
        <v>77</v>
      </c>
    </row>
    <row r="55" spans="1:10" ht="24.95" customHeight="1">
      <c r="B55" s="23" t="s">
        <v>18</v>
      </c>
      <c r="C55" s="24">
        <v>0</v>
      </c>
      <c r="D55" s="24">
        <v>0</v>
      </c>
      <c r="E55" s="24">
        <f>Mascotas234759[[#This Row],[COSTO PREVISTO]]-Mascotas234759[[#This Row],[COSTO REAL]]</f>
        <v>0</v>
      </c>
      <c r="F55" s="9"/>
      <c r="G55" s="23" t="s">
        <v>60</v>
      </c>
      <c r="H55" s="24">
        <v>0</v>
      </c>
      <c r="I55" s="24">
        <v>0</v>
      </c>
      <c r="J55" s="24">
        <f>Legal244860[[#This Row],[COSTO PREVISTO]]-Legal244860[[#This Row],[COSTO REAL]]</f>
        <v>0</v>
      </c>
    </row>
    <row r="56" spans="1:10" ht="24.95" customHeight="1">
      <c r="B56" s="25" t="s">
        <v>19</v>
      </c>
      <c r="C56" s="26">
        <f>SUBTOTAL(109,Mascotas234759[COSTO PREVISTO])</f>
        <v>0</v>
      </c>
      <c r="D56" s="26">
        <f>SUBTOTAL(109,Mascotas234759[COSTO REAL])</f>
        <v>0</v>
      </c>
      <c r="E56" s="26">
        <f>SUBTOTAL(109,Mascotas234759[DIFERENCIA])</f>
        <v>0</v>
      </c>
      <c r="F56" s="9"/>
      <c r="G56" s="23" t="s">
        <v>86</v>
      </c>
      <c r="H56" s="24">
        <v>0</v>
      </c>
      <c r="I56" s="24">
        <v>0</v>
      </c>
      <c r="J56" s="24">
        <f>Legal244860[[#This Row],[COSTO PREVISTO]]-Legal244860[[#This Row],[COSTO REAL]]</f>
        <v>0</v>
      </c>
    </row>
    <row r="57" spans="1:10" ht="24.95" customHeight="1">
      <c r="B57" s="41"/>
      <c r="C57" s="41"/>
      <c r="D57" s="41"/>
      <c r="E57" s="41"/>
      <c r="F57" s="9"/>
      <c r="G57" s="23" t="s">
        <v>87</v>
      </c>
      <c r="H57" s="24">
        <v>0</v>
      </c>
      <c r="I57" s="24">
        <v>0</v>
      </c>
      <c r="J57" s="24">
        <f>Legal244860[[#This Row],[COSTO PREVISTO]]-Legal244860[[#This Row],[COSTO REAL]]</f>
        <v>0</v>
      </c>
    </row>
    <row r="58" spans="1:10" ht="24.95" customHeight="1">
      <c r="A58" s="4" t="s">
        <v>12</v>
      </c>
      <c r="B58" s="21" t="s">
        <v>36</v>
      </c>
      <c r="C58" s="21" t="s">
        <v>40</v>
      </c>
      <c r="D58" s="21" t="s">
        <v>42</v>
      </c>
      <c r="E58" s="21" t="s">
        <v>43</v>
      </c>
      <c r="F58" s="9"/>
      <c r="G58" s="23" t="s">
        <v>18</v>
      </c>
      <c r="H58" s="24">
        <v>0</v>
      </c>
      <c r="I58" s="24">
        <v>0</v>
      </c>
      <c r="J58" s="24">
        <f>Legal244860[[#This Row],[COSTO PREVISTO]]-Legal244860[[#This Row],[COSTO REAL]]</f>
        <v>0</v>
      </c>
    </row>
    <row r="59" spans="1:10" ht="24.95" customHeight="1">
      <c r="B59" s="23" t="s">
        <v>33</v>
      </c>
      <c r="C59" s="24">
        <v>0</v>
      </c>
      <c r="D59" s="24">
        <v>0</v>
      </c>
      <c r="E59" s="24">
        <f>CuidadoPersonal254961[[#This Row],[Costo previsto]]-CuidadoPersonal254961[[#This Row],[Coste real]]</f>
        <v>0</v>
      </c>
      <c r="F59" s="9"/>
      <c r="G59" s="25" t="s">
        <v>19</v>
      </c>
      <c r="H59" s="27" t="s">
        <v>66</v>
      </c>
      <c r="I59" s="27" t="s">
        <v>66</v>
      </c>
      <c r="J59" s="26">
        <f>SUBTOTAL(109,Legal244860[DIFERENCIA])</f>
        <v>0</v>
      </c>
    </row>
    <row r="60" spans="1:10" ht="24.95" customHeight="1">
      <c r="B60" s="23" t="s">
        <v>95</v>
      </c>
      <c r="C60" s="24">
        <v>0</v>
      </c>
      <c r="D60" s="24">
        <v>0</v>
      </c>
      <c r="E60" s="24">
        <f>CuidadoPersonal254961[[#This Row],[Costo previsto]]-CuidadoPersonal254961[[#This Row],[Coste real]]</f>
        <v>0</v>
      </c>
      <c r="F60" s="9"/>
      <c r="G60" s="41"/>
      <c r="H60" s="41"/>
      <c r="I60" s="41"/>
      <c r="J60" s="41"/>
    </row>
    <row r="61" spans="1:10" ht="24.95" customHeight="1">
      <c r="A61" s="4" t="s">
        <v>13</v>
      </c>
      <c r="B61" s="23" t="s">
        <v>37</v>
      </c>
      <c r="C61" s="24">
        <v>0</v>
      </c>
      <c r="D61" s="24">
        <v>0</v>
      </c>
      <c r="E61" s="24">
        <f>CuidadoPersonal254961[[#This Row],[Costo previsto]]-CuidadoPersonal254961[[#This Row],[Coste real]]</f>
        <v>0</v>
      </c>
      <c r="F61" s="9"/>
      <c r="G61" s="35" t="s">
        <v>89</v>
      </c>
      <c r="H61" s="35"/>
      <c r="I61" s="35"/>
      <c r="J61" s="40">
        <f>SUBTOTAL(109,Alojamiento143850[COSTO PREVISTO],Transporte174153[Costo previsto],Seguro184254[COSTO PREVISTO],Comida214557[COSTO PREVISTO],Mascotas234759[COSTO PREVISTO],CuidadoPersonal254961[Costo previsto],Entretenimiento153951[COSTO PREVISTO],Prestamos164052[COSTO PREVISTO],Impuestos194355[COSTO PREVISTO],Ahorros204456[COSTO PREVISTO],Regalos224658[COSTO PREVISTO],Legal244860[COSTO PREVISTO])</f>
        <v>0</v>
      </c>
    </row>
    <row r="62" spans="1:10" ht="24.95" customHeight="1">
      <c r="B62" s="23" t="s">
        <v>38</v>
      </c>
      <c r="C62" s="24">
        <v>0</v>
      </c>
      <c r="D62" s="24">
        <v>0</v>
      </c>
      <c r="E62" s="24">
        <f>CuidadoPersonal254961[[#This Row],[Costo previsto]]-CuidadoPersonal254961[[#This Row],[Coste real]]</f>
        <v>0</v>
      </c>
      <c r="F62" s="9"/>
      <c r="G62" s="35"/>
      <c r="H62" s="35"/>
      <c r="I62" s="35"/>
      <c r="J62" s="40"/>
    </row>
    <row r="63" spans="1:10" ht="24.95" customHeight="1">
      <c r="B63" s="23" t="s">
        <v>39</v>
      </c>
      <c r="C63" s="24">
        <v>0</v>
      </c>
      <c r="D63" s="24">
        <v>0</v>
      </c>
      <c r="E63" s="24">
        <f>CuidadoPersonal254961[[#This Row],[Costo previsto]]-CuidadoPersonal254961[[#This Row],[Coste real]]</f>
        <v>0</v>
      </c>
      <c r="F63" s="9"/>
      <c r="G63" s="35" t="s">
        <v>90</v>
      </c>
      <c r="H63" s="35"/>
      <c r="I63" s="35"/>
      <c r="J63" s="40">
        <f>SUBTOTAL(109,Alojamiento143850[COSTO REAL],Transporte174153[Costo real],Seguro184254[COSTO REAL],Comida214557[COSTO REAL],Mascotas234759[COSTO REAL],CuidadoPersonal254961[Coste real],Entretenimiento153951[COSTO REAL],Prestamos164052[COSTO REAL],Impuestos194355[COSTO REAL],Ahorros204456[COSTO REAL],Regalos224658[[COSTO REAL ]],Legal244860[COSTO REAL])</f>
        <v>0</v>
      </c>
    </row>
    <row r="64" spans="1:10" ht="24.95" customHeight="1">
      <c r="B64" s="23" t="s">
        <v>88</v>
      </c>
      <c r="C64" s="24">
        <v>0</v>
      </c>
      <c r="D64" s="24">
        <v>0</v>
      </c>
      <c r="E64" s="24">
        <f>CuidadoPersonal254961[[#This Row],[Costo previsto]]-CuidadoPersonal254961[[#This Row],[Coste real]]</f>
        <v>0</v>
      </c>
      <c r="F64" s="9"/>
      <c r="G64" s="35"/>
      <c r="H64" s="35"/>
      <c r="I64" s="35"/>
      <c r="J64" s="40"/>
    </row>
    <row r="65" spans="2:10" ht="24.95" customHeight="1">
      <c r="B65" s="23" t="s">
        <v>18</v>
      </c>
      <c r="C65" s="24">
        <v>0</v>
      </c>
      <c r="D65" s="24">
        <v>0</v>
      </c>
      <c r="E65" s="24">
        <f>CuidadoPersonal254961[[#This Row],[Costo previsto]]-CuidadoPersonal254961[[#This Row],[Coste real]]</f>
        <v>0</v>
      </c>
      <c r="F65" s="9"/>
      <c r="G65" s="35" t="s">
        <v>91</v>
      </c>
      <c r="H65" s="35"/>
      <c r="I65" s="35"/>
      <c r="J65" s="40">
        <f>J61-J63</f>
        <v>0</v>
      </c>
    </row>
    <row r="66" spans="2:10" ht="24.95" customHeight="1">
      <c r="B66" s="25" t="s">
        <v>19</v>
      </c>
      <c r="C66" s="26">
        <f>SUBTOTAL(109,CuidadoPersonal254961[Costo previsto])</f>
        <v>0</v>
      </c>
      <c r="D66" s="26">
        <f>SUBTOTAL(109,CuidadoPersonal254961[Coste real])</f>
        <v>0</v>
      </c>
      <c r="E66" s="26">
        <f>SUBTOTAL(109,CuidadoPersonal254961[Diferencia])</f>
        <v>0</v>
      </c>
      <c r="F66" s="9"/>
      <c r="G66" s="35"/>
      <c r="H66" s="35"/>
      <c r="I66" s="35"/>
      <c r="J66" s="40"/>
    </row>
    <row r="67" spans="2:10">
      <c r="B67" s="42"/>
      <c r="C67" s="42"/>
      <c r="D67" s="42"/>
      <c r="E67" s="42"/>
    </row>
  </sheetData>
  <mergeCells count="26">
    <mergeCell ref="G63:I64"/>
    <mergeCell ref="J63:J64"/>
    <mergeCell ref="G65:I66"/>
    <mergeCell ref="J65:J66"/>
    <mergeCell ref="B67:E67"/>
    <mergeCell ref="G61:I62"/>
    <mergeCell ref="J61:J62"/>
    <mergeCell ref="G25:J25"/>
    <mergeCell ref="B26:E26"/>
    <mergeCell ref="G34:J34"/>
    <mergeCell ref="B36:E36"/>
    <mergeCell ref="G41:J41"/>
    <mergeCell ref="B43:E43"/>
    <mergeCell ref="G47:J47"/>
    <mergeCell ref="B49:E49"/>
    <mergeCell ref="G53:J53"/>
    <mergeCell ref="B57:E57"/>
    <mergeCell ref="G60:J60"/>
    <mergeCell ref="E8:G9"/>
    <mergeCell ref="H8:H9"/>
    <mergeCell ref="B9:C9"/>
    <mergeCell ref="B4:C4"/>
    <mergeCell ref="E4:G5"/>
    <mergeCell ref="H4:H5"/>
    <mergeCell ref="E6:G7"/>
    <mergeCell ref="H6:H7"/>
  </mergeCells>
  <dataValidations count="12">
    <dataValidation allowBlank="1" showInputMessage="1" showErrorMessage="1" prompt="El total de gastos previstos se calcula automáticamente en la celda J61; el total del gasto real, en la J63; y la diferencia total, en la celda J65." sqref="A61"/>
    <dataValidation allowBlank="1" showInputMessage="1" showErrorMessage="1" prompt="Escriba la información en la tabla Cuidado personal, empezando por la celda de la derecha y en la tabla Legal, empezando por la celda G54. La instrucción siguiente se encuentra en la celda A61." sqref="A58"/>
    <dataValidation allowBlank="1" showInputMessage="1" showErrorMessage="1" prompt="Escriba la información en la tabla Mascotas, empezando por la celda de la derecha y en la tabla Regalos, empezando por la celda G48. La instrucción siguiente se encuentra en la celda A58." sqref="A50"/>
    <dataValidation allowBlank="1" showInputMessage="1" showErrorMessage="1" prompt="Escriba la información en la tabla Comida, empezando por la celda de la derecha y en la tabla Ahorros, empezando por la celda G42. La instrucción siguiente se encuentra en la celda A50." sqref="A44"/>
    <dataValidation allowBlank="1" showInputMessage="1" showErrorMessage="1" prompt="Escriba la información en la tabla Seguro, empezando por la celda de la derecha y en la tabla Impuestos, empezando por la celda G35. La instrucción siguiente se encuentra en la celda A44." sqref="A37"/>
    <dataValidation allowBlank="1" showInputMessage="1" showErrorMessage="1" prompt="Escriba la información en la tabla Transporte, empezando por la celda de la derecha y en la tabla Préstamos, empezando por la celda G26. La instrucción siguiente se encuentra en la celda A37." sqref="A27"/>
    <dataValidation allowBlank="1" showInputMessage="1" showErrorMessage="1" prompt="Escriba la información en la tabla Alojamiento, empezando por la celda de la derecha y en la tabla Entretenimiento, empezando por la celda G14. La instrucción siguiente se encuentra en la celda A27." sqref="A14"/>
    <dataValidation allowBlank="1" showInputMessage="1" showErrorMessage="1" prompt="La etiqueta Ingresos mensuales reales está en la celda de la derecha. Escriba el Ingreso 1 en la celda C10 y el Ingreso adicional en la C11 para calcular el total de ingresos mensuales en la celda C12. La instrucción siguiente está en la celda A14." sqref="A9"/>
    <dataValidation allowBlank="1" showInputMessage="1" showErrorMessage="1" prompt="El saldo previsto se calcula automáticamente en la celda H4; el saldo real, en la H6; y la diferencia, en la celda H8. La instrucción siguiente se encuentra en la celda A9." sqref="A7"/>
    <dataValidation allowBlank="1" showInputMessage="1" showErrorMessage="1" prompt="La etiqueta Ingresos mensuales previstos está en la celda de la derecha. Escriba el Ingreso 1 en la celda C5 y el Ingreso adicional en la C6 para calcular el total de ingresos mensuales en la celda C7. La instrucción siguiente se encuentra en la celda A7." sqref="A4"/>
    <dataValidation allowBlank="1" showInputMessage="1" showErrorMessage="1" prompt="El título de esta hoja de cálculo está en la celda C2. La instrucción siguiente se encuentra en la celda A4." sqref="A2"/>
    <dataValidation allowBlank="1" showInputMessage="1" showErrorMessage="1" prompt="Cree un presupuesto mensual personal en esta hoja de cálculo. Encontrará instrucciones útiles sobre cómo usar este libro en las celdas de esta columna. Use la flecha hacia abajo para empezar." sqref="A1"/>
  </dataValidations>
  <pageMargins left="0.7" right="0.7" top="0.75" bottom="0.75" header="0.3" footer="0.3"/>
  <pageSetup paperSize="9" orientation="portrait" r:id="rId1"/>
  <drawing r:id="rId2"/>
  <tableParts count="12">
    <tablePart r:id="rId3"/>
    <tablePart r:id="rId4"/>
    <tablePart r:id="rId5"/>
    <tablePart r:id="rId6"/>
    <tablePart r:id="rId7"/>
    <tablePart r:id="rId8"/>
    <tablePart r:id="rId9"/>
    <tablePart r:id="rId10"/>
    <tablePart r:id="rId11"/>
    <tablePart r:id="rId12"/>
    <tablePart r:id="rId13"/>
    <tablePart r:id="rId14"/>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O67"/>
  <sheetViews>
    <sheetView zoomScale="70" zoomScaleNormal="70" workbookViewId="0">
      <selection activeCell="Q62" sqref="Q62"/>
    </sheetView>
  </sheetViews>
  <sheetFormatPr baseColWidth="10" defaultColWidth="9" defaultRowHeight="12.75"/>
  <cols>
    <col min="1" max="1" width="2.625" style="4" customWidth="1"/>
    <col min="2" max="2" width="34.875" customWidth="1"/>
    <col min="3" max="3" width="20.875" customWidth="1"/>
    <col min="4" max="4" width="17.625" customWidth="1"/>
    <col min="5" max="5" width="16" customWidth="1"/>
    <col min="6" max="6" width="2.625" customWidth="1"/>
    <col min="7" max="7" width="34.875" customWidth="1"/>
    <col min="8" max="8" width="19.625" customWidth="1"/>
    <col min="9" max="9" width="16.25" customWidth="1"/>
    <col min="10" max="10" width="17.625" customWidth="1"/>
    <col min="11" max="11" width="2.625" customWidth="1"/>
  </cols>
  <sheetData>
    <row r="1" spans="1:15" s="1" customFormat="1" ht="14.25">
      <c r="A1" s="3" t="s">
        <v>2</v>
      </c>
    </row>
    <row r="2" spans="1:15" s="1" customFormat="1" ht="71.25" customHeight="1">
      <c r="A2" s="10" t="s">
        <v>3</v>
      </c>
      <c r="B2" s="12"/>
      <c r="C2" s="13"/>
      <c r="D2" s="14"/>
      <c r="E2" s="14"/>
      <c r="F2" s="14"/>
      <c r="G2" s="14"/>
      <c r="H2" s="14"/>
      <c r="I2" s="15"/>
      <c r="J2" s="15"/>
      <c r="K2" s="12"/>
    </row>
    <row r="3" spans="1:15">
      <c r="B3" s="16"/>
      <c r="C3" s="16"/>
      <c r="D3" s="16"/>
      <c r="E3" s="16"/>
      <c r="F3" s="16"/>
      <c r="G3" s="16"/>
      <c r="H3" s="16"/>
      <c r="I3" s="16"/>
      <c r="J3" s="16"/>
      <c r="K3" s="16"/>
    </row>
    <row r="4" spans="1:15" ht="24.95" customHeight="1">
      <c r="A4" s="4" t="s">
        <v>4</v>
      </c>
      <c r="B4" s="37" t="s">
        <v>67</v>
      </c>
      <c r="C4" s="39"/>
      <c r="D4" s="6"/>
      <c r="E4" s="35" t="s">
        <v>92</v>
      </c>
      <c r="F4" s="35"/>
      <c r="G4" s="35"/>
      <c r="H4" s="36">
        <f>C7-J61</f>
        <v>0</v>
      </c>
    </row>
    <row r="5" spans="1:15" ht="24.95" customHeight="1">
      <c r="B5" s="17" t="s">
        <v>14</v>
      </c>
      <c r="C5" s="18">
        <v>0</v>
      </c>
      <c r="E5" s="35"/>
      <c r="F5" s="35"/>
      <c r="G5" s="35"/>
      <c r="H5" s="36"/>
      <c r="I5" s="7"/>
    </row>
    <row r="6" spans="1:15" ht="24.95" customHeight="1">
      <c r="B6" s="17" t="s">
        <v>69</v>
      </c>
      <c r="C6" s="18">
        <v>0</v>
      </c>
      <c r="E6" s="35" t="s">
        <v>93</v>
      </c>
      <c r="F6" s="35"/>
      <c r="G6" s="35"/>
      <c r="H6" s="36">
        <f>C12-J63</f>
        <v>0</v>
      </c>
      <c r="I6" s="7"/>
    </row>
    <row r="7" spans="1:15" ht="24.95" customHeight="1">
      <c r="A7" s="4" t="s">
        <v>5</v>
      </c>
      <c r="B7" s="17" t="s">
        <v>70</v>
      </c>
      <c r="C7" s="20">
        <f>SUM(C5:C6)</f>
        <v>0</v>
      </c>
      <c r="E7" s="35"/>
      <c r="F7" s="35"/>
      <c r="G7" s="35"/>
      <c r="H7" s="36"/>
      <c r="I7" s="7"/>
    </row>
    <row r="8" spans="1:15" ht="24.95" customHeight="1">
      <c r="B8" s="2"/>
      <c r="C8" s="2"/>
      <c r="D8" s="2"/>
      <c r="E8" s="35" t="s">
        <v>94</v>
      </c>
      <c r="F8" s="35"/>
      <c r="G8" s="35"/>
      <c r="H8" s="36">
        <f>H6-H4</f>
        <v>0</v>
      </c>
      <c r="I8" s="7"/>
    </row>
    <row r="9" spans="1:15" ht="24.95" customHeight="1">
      <c r="A9" s="4" t="s">
        <v>6</v>
      </c>
      <c r="B9" s="37" t="s">
        <v>68</v>
      </c>
      <c r="C9" s="38"/>
      <c r="D9" s="6"/>
      <c r="E9" s="35"/>
      <c r="F9" s="35"/>
      <c r="G9" s="35"/>
      <c r="H9" s="36"/>
      <c r="I9" s="8"/>
    </row>
    <row r="10" spans="1:15" ht="24.95" customHeight="1">
      <c r="B10" s="17" t="s">
        <v>99</v>
      </c>
      <c r="C10" s="18">
        <v>0</v>
      </c>
      <c r="I10" s="7"/>
    </row>
    <row r="11" spans="1:15" ht="24.95" customHeight="1">
      <c r="B11" s="17" t="s">
        <v>69</v>
      </c>
      <c r="C11" s="18">
        <v>0</v>
      </c>
      <c r="E11" s="7"/>
      <c r="H11" s="11"/>
      <c r="I11" s="11"/>
    </row>
    <row r="12" spans="1:15" ht="24.95" customHeight="1">
      <c r="B12" s="19" t="s">
        <v>70</v>
      </c>
      <c r="C12" s="20">
        <f>SUM(C10:C11)</f>
        <v>0</v>
      </c>
    </row>
    <row r="14" spans="1:15" ht="24.95" customHeight="1">
      <c r="A14" s="4" t="s">
        <v>7</v>
      </c>
      <c r="B14" s="21" t="s">
        <v>74</v>
      </c>
      <c r="C14" s="21" t="s">
        <v>76</v>
      </c>
      <c r="D14" s="21" t="s">
        <v>75</v>
      </c>
      <c r="E14" s="21" t="s">
        <v>77</v>
      </c>
      <c r="F14" s="9"/>
      <c r="G14" s="21" t="s">
        <v>44</v>
      </c>
      <c r="H14" s="21" t="s">
        <v>76</v>
      </c>
      <c r="I14" s="21" t="s">
        <v>75</v>
      </c>
      <c r="J14" s="21" t="s">
        <v>77</v>
      </c>
      <c r="O14" s="22"/>
    </row>
    <row r="15" spans="1:15" ht="25.5" customHeight="1">
      <c r="B15" s="23" t="s">
        <v>78</v>
      </c>
      <c r="C15" s="24">
        <v>0</v>
      </c>
      <c r="D15" s="24">
        <v>0</v>
      </c>
      <c r="E15" s="24">
        <f>Alojamiento14385062[[#This Row],[COSTO PREVISTO]]-Alojamiento14385062[[#This Row],[COSTO REAL]]</f>
        <v>0</v>
      </c>
      <c r="F15" s="9"/>
      <c r="G15" s="23" t="s">
        <v>45</v>
      </c>
      <c r="H15" s="24">
        <v>0</v>
      </c>
      <c r="I15" s="24">
        <v>0</v>
      </c>
      <c r="J15" s="24">
        <f>Entretenimiento15395163[[#This Row],[COSTO PREVISTO]]-Entretenimiento15395163[[#This Row],[COSTO REAL]]</f>
        <v>0</v>
      </c>
    </row>
    <row r="16" spans="1:15" ht="24.95" customHeight="1">
      <c r="B16" s="23" t="s">
        <v>61</v>
      </c>
      <c r="C16" s="24">
        <v>0</v>
      </c>
      <c r="D16" s="24">
        <v>0</v>
      </c>
      <c r="E16" s="24">
        <f>Alojamiento14385062[[#This Row],[COSTO PREVISTO]]-Alojamiento14385062[[#This Row],[COSTO REAL]]</f>
        <v>0</v>
      </c>
      <c r="F16" s="9"/>
      <c r="G16" s="23" t="s">
        <v>46</v>
      </c>
      <c r="H16" s="24">
        <v>0</v>
      </c>
      <c r="I16" s="24">
        <v>0</v>
      </c>
      <c r="J16" s="24">
        <f>Entretenimiento15395163[[#This Row],[COSTO PREVISTO]]-Entretenimiento15395163[[#This Row],[COSTO REAL]]</f>
        <v>0</v>
      </c>
    </row>
    <row r="17" spans="1:10" ht="24.95" customHeight="1">
      <c r="B17" s="23" t="s">
        <v>15</v>
      </c>
      <c r="C17" s="24">
        <v>0</v>
      </c>
      <c r="D17" s="24">
        <v>0</v>
      </c>
      <c r="E17" s="24">
        <f>Alojamiento14385062[[#This Row],[COSTO PREVISTO]]-Alojamiento14385062[[#This Row],[COSTO REAL]]</f>
        <v>0</v>
      </c>
      <c r="F17" s="9"/>
      <c r="G17" s="23" t="s">
        <v>47</v>
      </c>
      <c r="H17" s="24">
        <v>0</v>
      </c>
      <c r="I17" s="24">
        <v>0</v>
      </c>
      <c r="J17" s="24">
        <f>Entretenimiento15395163[[#This Row],[COSTO PREVISTO]]-Entretenimiento15395163[[#This Row],[COSTO REAL]]</f>
        <v>0</v>
      </c>
    </row>
    <row r="18" spans="1:10" ht="24.95" customHeight="1">
      <c r="B18" s="23" t="s">
        <v>16</v>
      </c>
      <c r="C18" s="24">
        <v>0</v>
      </c>
      <c r="D18" s="24">
        <v>0</v>
      </c>
      <c r="E18" s="24">
        <f>Alojamiento14385062[[#This Row],[COSTO PREVISTO]]-Alojamiento14385062[[#This Row],[COSTO REAL]]</f>
        <v>0</v>
      </c>
      <c r="F18" s="9"/>
      <c r="G18" s="23" t="s">
        <v>48</v>
      </c>
      <c r="H18" s="24">
        <v>0</v>
      </c>
      <c r="I18" s="24">
        <v>0</v>
      </c>
      <c r="J18" s="24">
        <f>Entretenimiento15395163[[#This Row],[COSTO PREVISTO]]-Entretenimiento15395163[[#This Row],[COSTO REAL]]</f>
        <v>0</v>
      </c>
    </row>
    <row r="19" spans="1:10" ht="24.95" customHeight="1">
      <c r="B19" s="23" t="s">
        <v>71</v>
      </c>
      <c r="C19" s="24">
        <v>0</v>
      </c>
      <c r="D19" s="24">
        <v>0</v>
      </c>
      <c r="E19" s="24">
        <f>Alojamiento14385062[[#This Row],[COSTO PREVISTO]]-Alojamiento14385062[[#This Row],[COSTO REAL]]</f>
        <v>0</v>
      </c>
      <c r="F19" s="9"/>
      <c r="G19" s="23" t="s">
        <v>82</v>
      </c>
      <c r="H19" s="24">
        <v>0</v>
      </c>
      <c r="I19" s="24">
        <v>0</v>
      </c>
      <c r="J19" s="24">
        <f>Entretenimiento15395163[[#This Row],[COSTO PREVISTO]]-Entretenimiento15395163[[#This Row],[COSTO REAL]]</f>
        <v>0</v>
      </c>
    </row>
    <row r="20" spans="1:10" ht="24.95" customHeight="1">
      <c r="B20" s="23" t="s">
        <v>72</v>
      </c>
      <c r="C20" s="24">
        <v>0</v>
      </c>
      <c r="D20" s="24">
        <v>0</v>
      </c>
      <c r="E20" s="24">
        <f>Alojamiento14385062[[#This Row],[COSTO PREVISTO]]-Alojamiento14385062[[#This Row],[COSTO REAL]]</f>
        <v>0</v>
      </c>
      <c r="F20" s="9"/>
      <c r="G20" s="23" t="s">
        <v>49</v>
      </c>
      <c r="H20" s="24">
        <v>0</v>
      </c>
      <c r="I20" s="24">
        <v>0</v>
      </c>
      <c r="J20" s="24">
        <f>Entretenimiento15395163[[#This Row],[COSTO PREVISTO]]-Entretenimiento15395163[[#This Row],[COSTO REAL]]</f>
        <v>0</v>
      </c>
    </row>
    <row r="21" spans="1:10" ht="24.95" customHeight="1">
      <c r="B21" s="23" t="s">
        <v>81</v>
      </c>
      <c r="C21" s="24">
        <v>0</v>
      </c>
      <c r="D21" s="24">
        <v>0</v>
      </c>
      <c r="E21" s="24">
        <f>Alojamiento14385062[[#This Row],[COSTO PREVISTO]]-Alojamiento14385062[[#This Row],[COSTO REAL]]</f>
        <v>0</v>
      </c>
      <c r="F21" s="9"/>
      <c r="G21" s="23" t="s">
        <v>18</v>
      </c>
      <c r="H21" s="24">
        <v>0</v>
      </c>
      <c r="I21" s="24">
        <v>0</v>
      </c>
      <c r="J21" s="24">
        <f>Entretenimiento15395163[[#This Row],[COSTO PREVISTO]]-Entretenimiento15395163[[#This Row],[COSTO REAL]]</f>
        <v>0</v>
      </c>
    </row>
    <row r="22" spans="1:10" ht="24.95" customHeight="1">
      <c r="B22" s="23" t="s">
        <v>73</v>
      </c>
      <c r="C22" s="24">
        <v>0</v>
      </c>
      <c r="D22" s="24">
        <v>0</v>
      </c>
      <c r="E22" s="24">
        <f>Alojamiento14385062[[#This Row],[COSTO PREVISTO]]-Alojamiento14385062[[#This Row],[COSTO REAL]]</f>
        <v>0</v>
      </c>
      <c r="F22" s="9"/>
      <c r="G22" s="23" t="s">
        <v>18</v>
      </c>
      <c r="H22" s="24">
        <v>0</v>
      </c>
      <c r="I22" s="24">
        <v>0</v>
      </c>
      <c r="J22" s="24">
        <f>Entretenimiento15395163[[#This Row],[COSTO PREVISTO]]-Entretenimiento15395163[[#This Row],[COSTO REAL]]</f>
        <v>0</v>
      </c>
    </row>
    <row r="23" spans="1:10" ht="24.95" customHeight="1">
      <c r="B23" s="23" t="s">
        <v>17</v>
      </c>
      <c r="C23" s="24">
        <v>0</v>
      </c>
      <c r="D23" s="24">
        <v>0</v>
      </c>
      <c r="E23" s="24">
        <f>Alojamiento14385062[[#This Row],[COSTO PREVISTO]]-Alojamiento14385062[[#This Row],[COSTO REAL]]</f>
        <v>0</v>
      </c>
      <c r="F23" s="9"/>
      <c r="G23" s="23" t="s">
        <v>18</v>
      </c>
      <c r="H23" s="24">
        <v>0</v>
      </c>
      <c r="I23" s="24">
        <v>0</v>
      </c>
      <c r="J23" s="24">
        <f>Entretenimiento15395163[[#This Row],[COSTO PREVISTO]]-Entretenimiento15395163[[#This Row],[COSTO REAL]]</f>
        <v>0</v>
      </c>
    </row>
    <row r="24" spans="1:10" ht="24.95" customHeight="1">
      <c r="B24" s="23" t="s">
        <v>18</v>
      </c>
      <c r="C24" s="24">
        <v>0</v>
      </c>
      <c r="D24" s="24">
        <v>0</v>
      </c>
      <c r="E24" s="24">
        <f>Alojamiento14385062[[#This Row],[COSTO PREVISTO]]-Alojamiento14385062[[#This Row],[COSTO REAL]]</f>
        <v>0</v>
      </c>
      <c r="F24" s="9"/>
      <c r="G24" s="25" t="s">
        <v>19</v>
      </c>
      <c r="H24" s="27" t="s">
        <v>66</v>
      </c>
      <c r="I24" s="27" t="s">
        <v>66</v>
      </c>
      <c r="J24" s="26">
        <f>SUBTOTAL(109,Entretenimiento15395163[DIFERENCIA])</f>
        <v>0</v>
      </c>
    </row>
    <row r="25" spans="1:10" ht="24.95" customHeight="1">
      <c r="B25" s="25" t="s">
        <v>19</v>
      </c>
      <c r="C25" s="26">
        <f>SUBTOTAL(109,Alojamiento14385062[COSTO PREVISTO])</f>
        <v>0</v>
      </c>
      <c r="D25" s="26">
        <f>SUBTOTAL(109,Alojamiento14385062[COSTO REAL])</f>
        <v>0</v>
      </c>
      <c r="E25" s="26">
        <f>SUBTOTAL(109,Alojamiento14385062[DIFERENCIA])</f>
        <v>0</v>
      </c>
      <c r="F25" s="9"/>
      <c r="G25" s="41"/>
      <c r="H25" s="41"/>
      <c r="I25" s="41"/>
      <c r="J25" s="41"/>
    </row>
    <row r="26" spans="1:10" ht="24.95" customHeight="1">
      <c r="B26" s="41"/>
      <c r="C26" s="41"/>
      <c r="D26" s="41"/>
      <c r="E26" s="41"/>
      <c r="F26" s="9"/>
      <c r="G26" s="21" t="s">
        <v>50</v>
      </c>
      <c r="H26" s="21" t="s">
        <v>76</v>
      </c>
      <c r="I26" s="21" t="s">
        <v>75</v>
      </c>
      <c r="J26" s="21" t="s">
        <v>77</v>
      </c>
    </row>
    <row r="27" spans="1:10" ht="24.95" customHeight="1">
      <c r="A27" s="4" t="s">
        <v>8</v>
      </c>
      <c r="B27" s="21" t="s">
        <v>20</v>
      </c>
      <c r="C27" s="21" t="s">
        <v>40</v>
      </c>
      <c r="D27" s="21" t="s">
        <v>41</v>
      </c>
      <c r="E27" s="21" t="s">
        <v>43</v>
      </c>
      <c r="F27" s="9"/>
      <c r="G27" s="23" t="s">
        <v>51</v>
      </c>
      <c r="H27" s="24">
        <v>0</v>
      </c>
      <c r="I27" s="24">
        <v>0</v>
      </c>
      <c r="J27" s="24">
        <f>Prestamos16405264[[#This Row],[COSTO PREVISTO]]-Prestamos16405264[[#This Row],[COSTO REAL]]</f>
        <v>0</v>
      </c>
    </row>
    <row r="28" spans="1:10" ht="24.95" customHeight="1">
      <c r="B28" s="23" t="s">
        <v>62</v>
      </c>
      <c r="C28" s="24">
        <v>0</v>
      </c>
      <c r="D28" s="24">
        <v>0</v>
      </c>
      <c r="E28" s="24">
        <f>Transporte17415365[[#This Row],[Costo previsto]]-Transporte17415365[[#This Row],[Costo real]]</f>
        <v>0</v>
      </c>
      <c r="F28" s="9"/>
      <c r="G28" s="23" t="s">
        <v>52</v>
      </c>
      <c r="H28" s="24">
        <v>0</v>
      </c>
      <c r="I28" s="24">
        <v>0</v>
      </c>
      <c r="J28" s="24">
        <f>Prestamos16405264[[#This Row],[COSTO PREVISTO]]-Prestamos16405264[[#This Row],[COSTO REAL]]</f>
        <v>0</v>
      </c>
    </row>
    <row r="29" spans="1:10" ht="24.95" customHeight="1">
      <c r="B29" s="23" t="s">
        <v>83</v>
      </c>
      <c r="C29" s="24">
        <v>0</v>
      </c>
      <c r="D29" s="24">
        <v>0</v>
      </c>
      <c r="E29" s="24">
        <f>Transporte17415365[[#This Row],[Costo previsto]]-Transporte17415365[[#This Row],[Costo real]]</f>
        <v>0</v>
      </c>
      <c r="F29" s="9"/>
      <c r="G29" s="23" t="s">
        <v>53</v>
      </c>
      <c r="H29" s="24">
        <v>0</v>
      </c>
      <c r="I29" s="24">
        <v>0</v>
      </c>
      <c r="J29" s="24">
        <f>Prestamos16405264[[#This Row],[COSTO PREVISTO]]-Prestamos16405264[[#This Row],[COSTO REAL]]</f>
        <v>0</v>
      </c>
    </row>
    <row r="30" spans="1:10" ht="24.95" customHeight="1">
      <c r="B30" s="23" t="s">
        <v>21</v>
      </c>
      <c r="C30" s="24">
        <v>0</v>
      </c>
      <c r="D30" s="24">
        <v>0</v>
      </c>
      <c r="E30" s="24">
        <f>Transporte17415365[[#This Row],[Costo previsto]]-Transporte17415365[[#This Row],[Costo real]]</f>
        <v>0</v>
      </c>
      <c r="F30" s="9"/>
      <c r="G30" s="23" t="s">
        <v>53</v>
      </c>
      <c r="H30" s="24">
        <v>0</v>
      </c>
      <c r="I30" s="24">
        <v>0</v>
      </c>
      <c r="J30" s="24">
        <f>Prestamos16405264[[#This Row],[COSTO PREVISTO]]-Prestamos16405264[[#This Row],[COSTO REAL]]</f>
        <v>0</v>
      </c>
    </row>
    <row r="31" spans="1:10" ht="24.95" customHeight="1">
      <c r="B31" s="23" t="s">
        <v>22</v>
      </c>
      <c r="C31" s="24">
        <v>0</v>
      </c>
      <c r="D31" s="24">
        <v>0</v>
      </c>
      <c r="E31" s="24">
        <f>Transporte17415365[[#This Row],[Costo previsto]]-Transporte17415365[[#This Row],[Costo real]]</f>
        <v>0</v>
      </c>
      <c r="F31" s="9"/>
      <c r="G31" s="23" t="s">
        <v>53</v>
      </c>
      <c r="H31" s="24">
        <v>0</v>
      </c>
      <c r="I31" s="24">
        <v>0</v>
      </c>
      <c r="J31" s="24">
        <f>Prestamos16405264[[#This Row],[COSTO PREVISTO]]-Prestamos16405264[[#This Row],[COSTO REAL]]</f>
        <v>0</v>
      </c>
    </row>
    <row r="32" spans="1:10" ht="24.95" customHeight="1">
      <c r="B32" s="23" t="s">
        <v>23</v>
      </c>
      <c r="C32" s="24">
        <v>0</v>
      </c>
      <c r="D32" s="24">
        <v>0</v>
      </c>
      <c r="E32" s="24">
        <f>Transporte17415365[[#This Row],[Costo previsto]]-Transporte17415365[[#This Row],[Costo real]]</f>
        <v>0</v>
      </c>
      <c r="F32" s="9"/>
      <c r="G32" s="23" t="s">
        <v>18</v>
      </c>
      <c r="H32" s="24">
        <v>0</v>
      </c>
      <c r="I32" s="24">
        <v>0</v>
      </c>
      <c r="J32" s="24">
        <f>Prestamos16405264[[#This Row],[COSTO PREVISTO]]-Prestamos16405264[[#This Row],[COSTO REAL]]</f>
        <v>0</v>
      </c>
    </row>
    <row r="33" spans="1:10" ht="24.95" customHeight="1">
      <c r="B33" s="23" t="s">
        <v>24</v>
      </c>
      <c r="C33" s="24">
        <v>0</v>
      </c>
      <c r="D33" s="24">
        <v>0</v>
      </c>
      <c r="E33" s="24">
        <f>Transporte17415365[[#This Row],[Costo previsto]]-Transporte17415365[[#This Row],[Costo real]]</f>
        <v>0</v>
      </c>
      <c r="F33" s="9"/>
      <c r="G33" s="25" t="s">
        <v>19</v>
      </c>
      <c r="H33" s="27" t="s">
        <v>66</v>
      </c>
      <c r="I33" s="27" t="s">
        <v>66</v>
      </c>
      <c r="J33" s="26">
        <f>SUBTOTAL(109,Prestamos16405264[DIFERENCIA])</f>
        <v>0</v>
      </c>
    </row>
    <row r="34" spans="1:10" ht="24.95" customHeight="1">
      <c r="B34" s="23" t="s">
        <v>64</v>
      </c>
      <c r="C34" s="24">
        <v>0</v>
      </c>
      <c r="D34" s="24">
        <v>0</v>
      </c>
      <c r="E34" s="24">
        <f>Transporte17415365[[#This Row],[Costo previsto]]-Transporte17415365[[#This Row],[Costo real]]</f>
        <v>0</v>
      </c>
      <c r="F34" s="9"/>
      <c r="G34" s="41"/>
      <c r="H34" s="41"/>
      <c r="I34" s="41"/>
      <c r="J34" s="41"/>
    </row>
    <row r="35" spans="1:10" ht="24.95" customHeight="1">
      <c r="B35" s="25" t="s">
        <v>19</v>
      </c>
      <c r="C35" s="26">
        <f>SUBTOTAL(109,Transporte17415365[Costo previsto])</f>
        <v>0</v>
      </c>
      <c r="D35" s="26">
        <f>SUBTOTAL(109,Transporte17415365[Costo real])</f>
        <v>0</v>
      </c>
      <c r="E35" s="26">
        <f>SUBTOTAL(109,Transporte17415365[Diferencia])</f>
        <v>0</v>
      </c>
      <c r="F35" s="9"/>
      <c r="G35" s="21" t="s">
        <v>54</v>
      </c>
      <c r="H35" s="21" t="s">
        <v>76</v>
      </c>
      <c r="I35" s="21" t="s">
        <v>75</v>
      </c>
      <c r="J35" s="21" t="s">
        <v>77</v>
      </c>
    </row>
    <row r="36" spans="1:10" ht="24.95" customHeight="1">
      <c r="B36" s="41"/>
      <c r="C36" s="41"/>
      <c r="D36" s="41"/>
      <c r="E36" s="41"/>
      <c r="F36" s="9"/>
      <c r="G36" s="23" t="s">
        <v>55</v>
      </c>
      <c r="H36" s="24">
        <v>0</v>
      </c>
      <c r="I36" s="24">
        <v>0</v>
      </c>
      <c r="J36" s="24">
        <f>Impuestos19435567[[#This Row],[COSTO PREVISTO]]-Impuestos19435567[[#This Row],[COSTO REAL]]</f>
        <v>0</v>
      </c>
    </row>
    <row r="37" spans="1:10" ht="24.95" customHeight="1">
      <c r="A37" s="4" t="s">
        <v>9</v>
      </c>
      <c r="B37" s="21" t="s">
        <v>25</v>
      </c>
      <c r="C37" s="21" t="s">
        <v>76</v>
      </c>
      <c r="D37" s="21" t="s">
        <v>75</v>
      </c>
      <c r="E37" s="21" t="s">
        <v>77</v>
      </c>
      <c r="F37" s="9"/>
      <c r="G37" s="23" t="s">
        <v>56</v>
      </c>
      <c r="H37" s="24">
        <v>0</v>
      </c>
      <c r="I37" s="24">
        <v>0</v>
      </c>
      <c r="J37" s="24">
        <f>Impuestos19435567[[#This Row],[COSTO PREVISTO]]-Impuestos19435567[[#This Row],[COSTO REAL]]</f>
        <v>0</v>
      </c>
    </row>
    <row r="38" spans="1:10" ht="24.95" customHeight="1">
      <c r="B38" s="23" t="s">
        <v>26</v>
      </c>
      <c r="C38" s="24">
        <v>0</v>
      </c>
      <c r="D38" s="24">
        <v>0</v>
      </c>
      <c r="E38" s="24">
        <f>Seguro18425466[[#This Row],[COSTO PREVISTO]]-Seguro18425466[[#This Row],[COSTO REAL]]</f>
        <v>0</v>
      </c>
      <c r="F38" s="9"/>
      <c r="G38" s="23" t="s">
        <v>57</v>
      </c>
      <c r="H38" s="24">
        <v>0</v>
      </c>
      <c r="I38" s="24">
        <v>0</v>
      </c>
      <c r="J38" s="24">
        <f>Impuestos19435567[[#This Row],[COSTO PREVISTO]]-Impuestos19435567[[#This Row],[COSTO REAL]]</f>
        <v>0</v>
      </c>
    </row>
    <row r="39" spans="1:10" ht="24.95" customHeight="1">
      <c r="B39" s="23" t="s">
        <v>98</v>
      </c>
      <c r="C39" s="24">
        <v>0</v>
      </c>
      <c r="D39" s="24">
        <v>0</v>
      </c>
      <c r="E39" s="24">
        <f>Seguro18425466[[#This Row],[COSTO PREVISTO]]-Seguro18425466[[#This Row],[COSTO REAL]]</f>
        <v>0</v>
      </c>
      <c r="F39" s="9"/>
      <c r="G39" s="23" t="s">
        <v>18</v>
      </c>
      <c r="H39" s="24">
        <v>0</v>
      </c>
      <c r="I39" s="24">
        <v>0</v>
      </c>
      <c r="J39" s="24">
        <f>Impuestos19435567[[#This Row],[COSTO PREVISTO]]-Impuestos19435567[[#This Row],[COSTO REAL]]</f>
        <v>0</v>
      </c>
    </row>
    <row r="40" spans="1:10" ht="24.95" customHeight="1">
      <c r="B40" s="23" t="s">
        <v>27</v>
      </c>
      <c r="C40" s="24">
        <v>0</v>
      </c>
      <c r="D40" s="24">
        <v>0</v>
      </c>
      <c r="E40" s="24">
        <f>Seguro18425466[[#This Row],[COSTO PREVISTO]]-Seguro18425466[[#This Row],[COSTO REAL]]</f>
        <v>0</v>
      </c>
      <c r="F40" s="9"/>
      <c r="G40" s="25" t="s">
        <v>19</v>
      </c>
      <c r="H40" s="27" t="s">
        <v>66</v>
      </c>
      <c r="I40" s="27" t="s">
        <v>66</v>
      </c>
      <c r="J40" s="26">
        <f>SUBTOTAL(109,Impuestos19435567[DIFERENCIA])</f>
        <v>0</v>
      </c>
    </row>
    <row r="41" spans="1:10" ht="24.95" customHeight="1">
      <c r="B41" s="23" t="s">
        <v>18</v>
      </c>
      <c r="C41" s="24">
        <v>0</v>
      </c>
      <c r="D41" s="24">
        <v>0</v>
      </c>
      <c r="E41" s="24">
        <f>Seguro18425466[[#This Row],[COSTO PREVISTO]]-Seguro18425466[[#This Row],[COSTO REAL]]</f>
        <v>0</v>
      </c>
      <c r="F41" s="9"/>
      <c r="G41" s="41"/>
      <c r="H41" s="41"/>
      <c r="I41" s="41"/>
      <c r="J41" s="41"/>
    </row>
    <row r="42" spans="1:10" ht="24.95" customHeight="1">
      <c r="B42" s="25" t="s">
        <v>19</v>
      </c>
      <c r="C42" s="26">
        <f>SUBTOTAL(109,Seguro18425466[COSTO PREVISTO])</f>
        <v>0</v>
      </c>
      <c r="D42" s="26">
        <f>SUBTOTAL(109,Seguro18425466[COSTO REAL])</f>
        <v>0</v>
      </c>
      <c r="E42" s="26">
        <f>SUBTOTAL(109,Seguro18425466[DIFERENCIA])</f>
        <v>0</v>
      </c>
      <c r="F42" s="9"/>
      <c r="G42" s="21" t="s">
        <v>58</v>
      </c>
      <c r="H42" s="21" t="s">
        <v>76</v>
      </c>
      <c r="I42" s="21" t="s">
        <v>75</v>
      </c>
      <c r="J42" s="21" t="s">
        <v>77</v>
      </c>
    </row>
    <row r="43" spans="1:10" ht="24.95" customHeight="1">
      <c r="B43" s="41"/>
      <c r="C43" s="41"/>
      <c r="D43" s="41"/>
      <c r="E43" s="41"/>
      <c r="F43" s="9"/>
      <c r="G43" s="23" t="s">
        <v>96</v>
      </c>
      <c r="H43" s="24">
        <v>0</v>
      </c>
      <c r="I43" s="24">
        <v>0</v>
      </c>
      <c r="J43" s="24">
        <f>Ahorros20445668[[#This Row],[COSTO PREVISTO]]-Ahorros20445668[[#This Row],[COSTO REAL]]</f>
        <v>0</v>
      </c>
    </row>
    <row r="44" spans="1:10" ht="24.95" customHeight="1">
      <c r="A44" s="4" t="s">
        <v>10</v>
      </c>
      <c r="B44" s="21" t="s">
        <v>28</v>
      </c>
      <c r="C44" s="21" t="s">
        <v>76</v>
      </c>
      <c r="D44" s="21" t="s">
        <v>75</v>
      </c>
      <c r="E44" s="21" t="s">
        <v>77</v>
      </c>
      <c r="F44" s="9"/>
      <c r="G44" s="23" t="s">
        <v>97</v>
      </c>
      <c r="H44" s="24">
        <v>0</v>
      </c>
      <c r="I44" s="24">
        <v>0</v>
      </c>
      <c r="J44" s="24">
        <f>Ahorros20445668[[#This Row],[COSTO PREVISTO]]-Ahorros20445668[[#This Row],[COSTO REAL]]</f>
        <v>0</v>
      </c>
    </row>
    <row r="45" spans="1:10" ht="24.95" customHeight="1">
      <c r="B45" s="23" t="s">
        <v>29</v>
      </c>
      <c r="C45" s="24">
        <v>0</v>
      </c>
      <c r="D45" s="24">
        <v>0</v>
      </c>
      <c r="E45" s="24">
        <f>Comida21455769[[#This Row],[COSTO PREVISTO]]-Comida21455769[[#This Row],[COSTO REAL]]</f>
        <v>0</v>
      </c>
      <c r="F45" s="9"/>
      <c r="G45" s="23" t="s">
        <v>18</v>
      </c>
      <c r="H45" s="24">
        <v>0</v>
      </c>
      <c r="I45" s="24">
        <v>0</v>
      </c>
      <c r="J45" s="24">
        <f>Ahorros20445668[[#This Row],[COSTO PREVISTO]]-Ahorros20445668[[#This Row],[COSTO REAL]]</f>
        <v>0</v>
      </c>
    </row>
    <row r="46" spans="1:10" ht="24.95" customHeight="1">
      <c r="B46" s="23" t="s">
        <v>30</v>
      </c>
      <c r="C46" s="24">
        <v>0</v>
      </c>
      <c r="D46" s="24">
        <v>0</v>
      </c>
      <c r="E46" s="24">
        <f>Comida21455769[[#This Row],[COSTO PREVISTO]]-Comida21455769[[#This Row],[COSTO REAL]]</f>
        <v>0</v>
      </c>
      <c r="F46" s="9"/>
      <c r="G46" s="25" t="s">
        <v>19</v>
      </c>
      <c r="H46" s="27" t="s">
        <v>66</v>
      </c>
      <c r="I46" s="27" t="s">
        <v>66</v>
      </c>
      <c r="J46" s="26">
        <f>SUBTOTAL(109,Ahorros20445668[DIFERENCIA])</f>
        <v>0</v>
      </c>
    </row>
    <row r="47" spans="1:10" ht="24.95" customHeight="1">
      <c r="B47" s="23" t="s">
        <v>65</v>
      </c>
      <c r="C47" s="24">
        <v>0</v>
      </c>
      <c r="D47" s="24">
        <v>0</v>
      </c>
      <c r="E47" s="24">
        <f>Comida21455769[[#This Row],[COSTO PREVISTO]]-Comida21455769[[#This Row],[COSTO REAL]]</f>
        <v>0</v>
      </c>
      <c r="F47" s="9"/>
      <c r="G47" s="41"/>
      <c r="H47" s="41"/>
      <c r="I47" s="41"/>
      <c r="J47" s="41"/>
    </row>
    <row r="48" spans="1:10" ht="24.95" customHeight="1">
      <c r="B48" s="25" t="s">
        <v>19</v>
      </c>
      <c r="C48" s="26">
        <f>SUBTOTAL(109,Comida21455769[COSTO PREVISTO])</f>
        <v>0</v>
      </c>
      <c r="D48" s="26">
        <f>SUBTOTAL(109,Comida21455769[COSTO REAL])</f>
        <v>0</v>
      </c>
      <c r="E48" s="26">
        <f>SUBTOTAL(109,Comida21455769[DIFERENCIA])</f>
        <v>0</v>
      </c>
      <c r="F48" s="9"/>
      <c r="G48" s="21" t="s">
        <v>79</v>
      </c>
      <c r="H48" s="21" t="s">
        <v>76</v>
      </c>
      <c r="I48" s="21" t="s">
        <v>80</v>
      </c>
      <c r="J48" s="21" t="s">
        <v>77</v>
      </c>
    </row>
    <row r="49" spans="1:10" ht="24.95" customHeight="1">
      <c r="B49" s="41"/>
      <c r="C49" s="41"/>
      <c r="D49" s="41"/>
      <c r="E49" s="41"/>
      <c r="F49" s="9"/>
      <c r="G49" s="23" t="s">
        <v>85</v>
      </c>
      <c r="H49" s="24">
        <v>0</v>
      </c>
      <c r="I49" s="24">
        <v>0</v>
      </c>
      <c r="J49" s="24">
        <f>Regalos22465870[[#This Row],[COSTO PREVISTO]]-Regalos22465870[[#This Row],[COSTO REAL ]]</f>
        <v>0</v>
      </c>
    </row>
    <row r="50" spans="1:10" ht="24.95" customHeight="1">
      <c r="A50" s="4" t="s">
        <v>11</v>
      </c>
      <c r="B50" s="21" t="s">
        <v>31</v>
      </c>
      <c r="C50" s="21" t="s">
        <v>76</v>
      </c>
      <c r="D50" s="21" t="s">
        <v>75</v>
      </c>
      <c r="E50" s="21" t="s">
        <v>77</v>
      </c>
      <c r="F50" s="9"/>
      <c r="G50" s="23" t="s">
        <v>84</v>
      </c>
      <c r="H50" s="24">
        <v>0</v>
      </c>
      <c r="I50" s="24">
        <v>0</v>
      </c>
      <c r="J50" s="24">
        <f>Regalos22465870[[#This Row],[COSTO PREVISTO]]-Regalos22465870[[#This Row],[COSTO REAL ]]</f>
        <v>0</v>
      </c>
    </row>
    <row r="51" spans="1:10" ht="24.95" customHeight="1">
      <c r="B51" s="23" t="s">
        <v>32</v>
      </c>
      <c r="C51" s="24">
        <v>0</v>
      </c>
      <c r="D51" s="24">
        <v>0</v>
      </c>
      <c r="E51" s="24">
        <f>Mascotas23475971[[#This Row],[COSTO PREVISTO]]-Mascotas23475971[[#This Row],[COSTO REAL]]</f>
        <v>0</v>
      </c>
      <c r="F51" s="9"/>
      <c r="G51" s="23" t="s">
        <v>63</v>
      </c>
      <c r="H51" s="24">
        <v>0</v>
      </c>
      <c r="I51" s="24">
        <v>0</v>
      </c>
      <c r="J51" s="24">
        <f>Regalos22465870[[#This Row],[COSTO PREVISTO]]-Regalos22465870[[#This Row],[COSTO REAL ]]</f>
        <v>0</v>
      </c>
    </row>
    <row r="52" spans="1:10" ht="24.95" customHeight="1">
      <c r="B52" s="23" t="s">
        <v>33</v>
      </c>
      <c r="C52" s="24">
        <v>0</v>
      </c>
      <c r="D52" s="24">
        <v>0</v>
      </c>
      <c r="E52" s="24">
        <f>Mascotas23475971[[#This Row],[COSTO PREVISTO]]-Mascotas23475971[[#This Row],[COSTO REAL]]</f>
        <v>0</v>
      </c>
      <c r="F52" s="9"/>
      <c r="G52" s="25" t="s">
        <v>19</v>
      </c>
      <c r="H52" s="27">
        <f>SUBTOTAL(109,Regalos22465870[COSTO PREVISTO])</f>
        <v>0</v>
      </c>
      <c r="I52" s="27" t="s">
        <v>66</v>
      </c>
      <c r="J52" s="26">
        <f>SUBTOTAL(109,Regalos22465870[DIFERENCIA])</f>
        <v>0</v>
      </c>
    </row>
    <row r="53" spans="1:10" ht="24.95" customHeight="1">
      <c r="B53" s="23" t="s">
        <v>34</v>
      </c>
      <c r="C53" s="24">
        <v>0</v>
      </c>
      <c r="D53" s="24">
        <v>0</v>
      </c>
      <c r="E53" s="24">
        <f>Mascotas23475971[[#This Row],[COSTO PREVISTO]]-Mascotas23475971[[#This Row],[COSTO REAL]]</f>
        <v>0</v>
      </c>
      <c r="F53" s="9"/>
      <c r="G53" s="41"/>
      <c r="H53" s="41"/>
      <c r="I53" s="41"/>
      <c r="J53" s="41"/>
    </row>
    <row r="54" spans="1:10" ht="24.95" customHeight="1">
      <c r="B54" s="23" t="s">
        <v>35</v>
      </c>
      <c r="C54" s="24">
        <v>0</v>
      </c>
      <c r="D54" s="24">
        <v>0</v>
      </c>
      <c r="E54" s="24">
        <f>Mascotas23475971[[#This Row],[COSTO PREVISTO]]-Mascotas23475971[[#This Row],[COSTO REAL]]</f>
        <v>0</v>
      </c>
      <c r="F54" s="9"/>
      <c r="G54" s="21" t="s">
        <v>59</v>
      </c>
      <c r="H54" s="21" t="s">
        <v>76</v>
      </c>
      <c r="I54" s="21" t="s">
        <v>75</v>
      </c>
      <c r="J54" s="21" t="s">
        <v>77</v>
      </c>
    </row>
    <row r="55" spans="1:10" ht="24.95" customHeight="1">
      <c r="B55" s="23" t="s">
        <v>18</v>
      </c>
      <c r="C55" s="24">
        <v>0</v>
      </c>
      <c r="D55" s="24">
        <v>0</v>
      </c>
      <c r="E55" s="24">
        <f>Mascotas23475971[[#This Row],[COSTO PREVISTO]]-Mascotas23475971[[#This Row],[COSTO REAL]]</f>
        <v>0</v>
      </c>
      <c r="F55" s="9"/>
      <c r="G55" s="23" t="s">
        <v>60</v>
      </c>
      <c r="H55" s="24">
        <v>0</v>
      </c>
      <c r="I55" s="24">
        <v>0</v>
      </c>
      <c r="J55" s="24">
        <f>Legal24486072[[#This Row],[COSTO PREVISTO]]-Legal24486072[[#This Row],[COSTO REAL]]</f>
        <v>0</v>
      </c>
    </row>
    <row r="56" spans="1:10" ht="24.95" customHeight="1">
      <c r="B56" s="25" t="s">
        <v>19</v>
      </c>
      <c r="C56" s="26">
        <f>SUBTOTAL(109,Mascotas23475971[COSTO PREVISTO])</f>
        <v>0</v>
      </c>
      <c r="D56" s="26">
        <f>SUBTOTAL(109,Mascotas23475971[COSTO REAL])</f>
        <v>0</v>
      </c>
      <c r="E56" s="26">
        <f>SUBTOTAL(109,Mascotas23475971[DIFERENCIA])</f>
        <v>0</v>
      </c>
      <c r="F56" s="9"/>
      <c r="G56" s="23" t="s">
        <v>86</v>
      </c>
      <c r="H56" s="24">
        <v>0</v>
      </c>
      <c r="I56" s="24">
        <v>0</v>
      </c>
      <c r="J56" s="24">
        <f>Legal24486072[[#This Row],[COSTO PREVISTO]]-Legal24486072[[#This Row],[COSTO REAL]]</f>
        <v>0</v>
      </c>
    </row>
    <row r="57" spans="1:10" ht="24.95" customHeight="1">
      <c r="B57" s="41"/>
      <c r="C57" s="41"/>
      <c r="D57" s="41"/>
      <c r="E57" s="41"/>
      <c r="F57" s="9"/>
      <c r="G57" s="23" t="s">
        <v>87</v>
      </c>
      <c r="H57" s="24">
        <v>0</v>
      </c>
      <c r="I57" s="24">
        <v>0</v>
      </c>
      <c r="J57" s="24">
        <f>Legal24486072[[#This Row],[COSTO PREVISTO]]-Legal24486072[[#This Row],[COSTO REAL]]</f>
        <v>0</v>
      </c>
    </row>
    <row r="58" spans="1:10" ht="24.95" customHeight="1">
      <c r="A58" s="4" t="s">
        <v>12</v>
      </c>
      <c r="B58" s="21" t="s">
        <v>36</v>
      </c>
      <c r="C58" s="21" t="s">
        <v>40</v>
      </c>
      <c r="D58" s="21" t="s">
        <v>42</v>
      </c>
      <c r="E58" s="21" t="s">
        <v>43</v>
      </c>
      <c r="F58" s="9"/>
      <c r="G58" s="23" t="s">
        <v>18</v>
      </c>
      <c r="H58" s="24">
        <v>0</v>
      </c>
      <c r="I58" s="24">
        <v>0</v>
      </c>
      <c r="J58" s="24">
        <f>Legal24486072[[#This Row],[COSTO PREVISTO]]-Legal24486072[[#This Row],[COSTO REAL]]</f>
        <v>0</v>
      </c>
    </row>
    <row r="59" spans="1:10" ht="24.95" customHeight="1">
      <c r="B59" s="23" t="s">
        <v>33</v>
      </c>
      <c r="C59" s="24">
        <v>0</v>
      </c>
      <c r="D59" s="24">
        <v>0</v>
      </c>
      <c r="E59" s="24">
        <f>CuidadoPersonal25496173[[#This Row],[Costo previsto]]-CuidadoPersonal25496173[[#This Row],[Coste real]]</f>
        <v>0</v>
      </c>
      <c r="F59" s="9"/>
      <c r="G59" s="25" t="s">
        <v>19</v>
      </c>
      <c r="H59" s="27" t="s">
        <v>66</v>
      </c>
      <c r="I59" s="27" t="s">
        <v>66</v>
      </c>
      <c r="J59" s="26">
        <f>SUBTOTAL(109,Legal24486072[DIFERENCIA])</f>
        <v>0</v>
      </c>
    </row>
    <row r="60" spans="1:10" ht="24.95" customHeight="1">
      <c r="B60" s="23" t="s">
        <v>95</v>
      </c>
      <c r="C60" s="24">
        <v>0</v>
      </c>
      <c r="D60" s="24">
        <v>0</v>
      </c>
      <c r="E60" s="24">
        <f>CuidadoPersonal25496173[[#This Row],[Costo previsto]]-CuidadoPersonal25496173[[#This Row],[Coste real]]</f>
        <v>0</v>
      </c>
      <c r="F60" s="9"/>
      <c r="G60" s="41"/>
      <c r="H60" s="41"/>
      <c r="I60" s="41"/>
      <c r="J60" s="41"/>
    </row>
    <row r="61" spans="1:10" ht="24.95" customHeight="1">
      <c r="A61" s="4" t="s">
        <v>13</v>
      </c>
      <c r="B61" s="23" t="s">
        <v>37</v>
      </c>
      <c r="C61" s="24">
        <v>0</v>
      </c>
      <c r="D61" s="24">
        <v>0</v>
      </c>
      <c r="E61" s="24">
        <f>CuidadoPersonal25496173[[#This Row],[Costo previsto]]-CuidadoPersonal25496173[[#This Row],[Coste real]]</f>
        <v>0</v>
      </c>
      <c r="F61" s="9"/>
      <c r="G61" s="35" t="s">
        <v>89</v>
      </c>
      <c r="H61" s="35"/>
      <c r="I61" s="35"/>
      <c r="J61" s="40">
        <f>SUBTOTAL(109,Alojamiento14385062[COSTO PREVISTO],Transporte17415365[Costo previsto],Seguro18425466[COSTO PREVISTO],Comida21455769[COSTO PREVISTO],Mascotas23475971[COSTO PREVISTO],CuidadoPersonal25496173[Costo previsto],Entretenimiento15395163[COSTO PREVISTO],Prestamos16405264[COSTO PREVISTO],Impuestos19435567[COSTO PREVISTO],Ahorros20445668[COSTO PREVISTO],Regalos22465870[COSTO PREVISTO],Legal24486072[COSTO PREVISTO])</f>
        <v>0</v>
      </c>
    </row>
    <row r="62" spans="1:10" ht="24.95" customHeight="1">
      <c r="B62" s="23" t="s">
        <v>38</v>
      </c>
      <c r="C62" s="24">
        <v>0</v>
      </c>
      <c r="D62" s="24">
        <v>0</v>
      </c>
      <c r="E62" s="24">
        <f>CuidadoPersonal25496173[[#This Row],[Costo previsto]]-CuidadoPersonal25496173[[#This Row],[Coste real]]</f>
        <v>0</v>
      </c>
      <c r="F62" s="9"/>
      <c r="G62" s="35"/>
      <c r="H62" s="35"/>
      <c r="I62" s="35"/>
      <c r="J62" s="40"/>
    </row>
    <row r="63" spans="1:10" ht="24.95" customHeight="1">
      <c r="B63" s="23" t="s">
        <v>39</v>
      </c>
      <c r="C63" s="24">
        <v>0</v>
      </c>
      <c r="D63" s="24">
        <v>0</v>
      </c>
      <c r="E63" s="24">
        <f>CuidadoPersonal25496173[[#This Row],[Costo previsto]]-CuidadoPersonal25496173[[#This Row],[Coste real]]</f>
        <v>0</v>
      </c>
      <c r="F63" s="9"/>
      <c r="G63" s="35" t="s">
        <v>90</v>
      </c>
      <c r="H63" s="35"/>
      <c r="I63" s="35"/>
      <c r="J63" s="40">
        <f>SUBTOTAL(109,Alojamiento14385062[COSTO REAL],Transporte17415365[Costo real],Seguro18425466[COSTO REAL],Comida21455769[COSTO REAL],Mascotas23475971[COSTO REAL],CuidadoPersonal25496173[Coste real],Entretenimiento15395163[COSTO REAL],Prestamos16405264[COSTO REAL],Impuestos19435567[COSTO REAL],Ahorros20445668[COSTO REAL],Regalos22465870[[COSTO REAL ]],Legal24486072[COSTO REAL])</f>
        <v>0</v>
      </c>
    </row>
    <row r="64" spans="1:10" ht="24.95" customHeight="1">
      <c r="B64" s="23" t="s">
        <v>88</v>
      </c>
      <c r="C64" s="24">
        <v>0</v>
      </c>
      <c r="D64" s="24">
        <v>0</v>
      </c>
      <c r="E64" s="24">
        <f>CuidadoPersonal25496173[[#This Row],[Costo previsto]]-CuidadoPersonal25496173[[#This Row],[Coste real]]</f>
        <v>0</v>
      </c>
      <c r="F64" s="9"/>
      <c r="G64" s="35"/>
      <c r="H64" s="35"/>
      <c r="I64" s="35"/>
      <c r="J64" s="40"/>
    </row>
    <row r="65" spans="2:10" ht="24.95" customHeight="1">
      <c r="B65" s="23" t="s">
        <v>18</v>
      </c>
      <c r="C65" s="24">
        <v>0</v>
      </c>
      <c r="D65" s="24">
        <v>0</v>
      </c>
      <c r="E65" s="24">
        <f>CuidadoPersonal25496173[[#This Row],[Costo previsto]]-CuidadoPersonal25496173[[#This Row],[Coste real]]</f>
        <v>0</v>
      </c>
      <c r="F65" s="9"/>
      <c r="G65" s="35" t="s">
        <v>91</v>
      </c>
      <c r="H65" s="35"/>
      <c r="I65" s="35"/>
      <c r="J65" s="40">
        <f>J61-J63</f>
        <v>0</v>
      </c>
    </row>
    <row r="66" spans="2:10" ht="24.95" customHeight="1">
      <c r="B66" s="25" t="s">
        <v>19</v>
      </c>
      <c r="C66" s="26">
        <f>SUBTOTAL(109,CuidadoPersonal25496173[Costo previsto])</f>
        <v>0</v>
      </c>
      <c r="D66" s="26">
        <f>SUBTOTAL(109,CuidadoPersonal25496173[Coste real])</f>
        <v>0</v>
      </c>
      <c r="E66" s="26">
        <f>SUBTOTAL(109,CuidadoPersonal25496173[Diferencia])</f>
        <v>0</v>
      </c>
      <c r="F66" s="9"/>
      <c r="G66" s="35"/>
      <c r="H66" s="35"/>
      <c r="I66" s="35"/>
      <c r="J66" s="40"/>
    </row>
    <row r="67" spans="2:10">
      <c r="B67" s="42"/>
      <c r="C67" s="42"/>
      <c r="D67" s="42"/>
      <c r="E67" s="42"/>
    </row>
  </sheetData>
  <mergeCells count="26">
    <mergeCell ref="G63:I64"/>
    <mergeCell ref="J63:J64"/>
    <mergeCell ref="G65:I66"/>
    <mergeCell ref="J65:J66"/>
    <mergeCell ref="B67:E67"/>
    <mergeCell ref="G61:I62"/>
    <mergeCell ref="J61:J62"/>
    <mergeCell ref="G25:J25"/>
    <mergeCell ref="B26:E26"/>
    <mergeCell ref="G34:J34"/>
    <mergeCell ref="B36:E36"/>
    <mergeCell ref="G41:J41"/>
    <mergeCell ref="B43:E43"/>
    <mergeCell ref="G47:J47"/>
    <mergeCell ref="B49:E49"/>
    <mergeCell ref="G53:J53"/>
    <mergeCell ref="B57:E57"/>
    <mergeCell ref="G60:J60"/>
    <mergeCell ref="E8:G9"/>
    <mergeCell ref="H8:H9"/>
    <mergeCell ref="B9:C9"/>
    <mergeCell ref="B4:C4"/>
    <mergeCell ref="E4:G5"/>
    <mergeCell ref="H4:H5"/>
    <mergeCell ref="E6:G7"/>
    <mergeCell ref="H6:H7"/>
  </mergeCells>
  <dataValidations count="12">
    <dataValidation allowBlank="1" showInputMessage="1" showErrorMessage="1" prompt="Cree un presupuesto mensual personal en esta hoja de cálculo. Encontrará instrucciones útiles sobre cómo usar este libro en las celdas de esta columna. Use la flecha hacia abajo para empezar." sqref="A1"/>
    <dataValidation allowBlank="1" showInputMessage="1" showErrorMessage="1" prompt="El título de esta hoja de cálculo está en la celda C2. La instrucción siguiente se encuentra en la celda A4." sqref="A2"/>
    <dataValidation allowBlank="1" showInputMessage="1" showErrorMessage="1" prompt="La etiqueta Ingresos mensuales previstos está en la celda de la derecha. Escriba el Ingreso 1 en la celda C5 y el Ingreso adicional en la C6 para calcular el total de ingresos mensuales en la celda C7. La instrucción siguiente se encuentra en la celda A7." sqref="A4"/>
    <dataValidation allowBlank="1" showInputMessage="1" showErrorMessage="1" prompt="El saldo previsto se calcula automáticamente en la celda H4; el saldo real, en la H6; y la diferencia, en la celda H8. La instrucción siguiente se encuentra en la celda A9." sqref="A7"/>
    <dataValidation allowBlank="1" showInputMessage="1" showErrorMessage="1" prompt="La etiqueta Ingresos mensuales reales está en la celda de la derecha. Escriba el Ingreso 1 en la celda C10 y el Ingreso adicional en la C11 para calcular el total de ingresos mensuales en la celda C12. La instrucción siguiente está en la celda A14." sqref="A9"/>
    <dataValidation allowBlank="1" showInputMessage="1" showErrorMessage="1" prompt="Escriba la información en la tabla Alojamiento, empezando por la celda de la derecha y en la tabla Entretenimiento, empezando por la celda G14. La instrucción siguiente se encuentra en la celda A27." sqref="A14"/>
    <dataValidation allowBlank="1" showInputMessage="1" showErrorMessage="1" prompt="Escriba la información en la tabla Transporte, empezando por la celda de la derecha y en la tabla Préstamos, empezando por la celda G26. La instrucción siguiente se encuentra en la celda A37." sqref="A27"/>
    <dataValidation allowBlank="1" showInputMessage="1" showErrorMessage="1" prompt="Escriba la información en la tabla Seguro, empezando por la celda de la derecha y en la tabla Impuestos, empezando por la celda G35. La instrucción siguiente se encuentra en la celda A44." sqref="A37"/>
    <dataValidation allowBlank="1" showInputMessage="1" showErrorMessage="1" prompt="Escriba la información en la tabla Comida, empezando por la celda de la derecha y en la tabla Ahorros, empezando por la celda G42. La instrucción siguiente se encuentra en la celda A50." sqref="A44"/>
    <dataValidation allowBlank="1" showInputMessage="1" showErrorMessage="1" prompt="Escriba la información en la tabla Mascotas, empezando por la celda de la derecha y en la tabla Regalos, empezando por la celda G48. La instrucción siguiente se encuentra en la celda A58." sqref="A50"/>
    <dataValidation allowBlank="1" showInputMessage="1" showErrorMessage="1" prompt="Escriba la información en la tabla Cuidado personal, empezando por la celda de la derecha y en la tabla Legal, empezando por la celda G54. La instrucción siguiente se encuentra en la celda A61." sqref="A58"/>
    <dataValidation allowBlank="1" showInputMessage="1" showErrorMessage="1" prompt="El total de gastos previstos se calcula automáticamente en la celda J61; el total del gasto real, en la J63; y la diferencia total, en la celda J65." sqref="A61"/>
  </dataValidations>
  <pageMargins left="0.7" right="0.7" top="0.75" bottom="0.75" header="0.3" footer="0.3"/>
  <pageSetup paperSize="9" orientation="portrait" r:id="rId1"/>
  <drawing r:id="rId2"/>
  <tableParts count="12">
    <tablePart r:id="rId3"/>
    <tablePart r:id="rId4"/>
    <tablePart r:id="rId5"/>
    <tablePart r:id="rId6"/>
    <tablePart r:id="rId7"/>
    <tablePart r:id="rId8"/>
    <tablePart r:id="rId9"/>
    <tablePart r:id="rId10"/>
    <tablePart r:id="rId11"/>
    <tablePart r:id="rId12"/>
    <tablePart r:id="rId13"/>
    <tablePart r:id="rId14"/>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O67"/>
  <sheetViews>
    <sheetView zoomScale="70" zoomScaleNormal="70" workbookViewId="0">
      <selection activeCell="G71" sqref="G71"/>
    </sheetView>
  </sheetViews>
  <sheetFormatPr baseColWidth="10" defaultColWidth="9" defaultRowHeight="12.75"/>
  <cols>
    <col min="1" max="1" width="2.625" style="4" customWidth="1"/>
    <col min="2" max="2" width="34.875" customWidth="1"/>
    <col min="3" max="3" width="20.875" customWidth="1"/>
    <col min="4" max="4" width="17.625" customWidth="1"/>
    <col min="5" max="5" width="16" customWidth="1"/>
    <col min="6" max="6" width="2.625" customWidth="1"/>
    <col min="7" max="7" width="34.875" customWidth="1"/>
    <col min="8" max="8" width="19.625" customWidth="1"/>
    <col min="9" max="9" width="16.25" customWidth="1"/>
    <col min="10" max="10" width="17.625" customWidth="1"/>
    <col min="11" max="11" width="2.625" customWidth="1"/>
  </cols>
  <sheetData>
    <row r="1" spans="1:15" s="1" customFormat="1" ht="14.25">
      <c r="A1" s="3" t="s">
        <v>2</v>
      </c>
    </row>
    <row r="2" spans="1:15" s="1" customFormat="1" ht="71.25" customHeight="1">
      <c r="A2" s="10" t="s">
        <v>3</v>
      </c>
      <c r="B2" s="12"/>
      <c r="C2" s="13"/>
      <c r="D2" s="14"/>
      <c r="E2" s="14"/>
      <c r="F2" s="14"/>
      <c r="G2" s="14"/>
      <c r="H2" s="14"/>
      <c r="I2" s="15"/>
      <c r="J2" s="15"/>
      <c r="K2" s="12"/>
    </row>
    <row r="3" spans="1:15">
      <c r="B3" s="16"/>
      <c r="C3" s="16"/>
      <c r="D3" s="16"/>
      <c r="E3" s="16"/>
      <c r="F3" s="16"/>
      <c r="G3" s="16"/>
      <c r="H3" s="16"/>
      <c r="I3" s="16"/>
      <c r="J3" s="16"/>
      <c r="K3" s="16"/>
    </row>
    <row r="4" spans="1:15" ht="24.95" customHeight="1">
      <c r="A4" s="4" t="s">
        <v>4</v>
      </c>
      <c r="B4" s="37" t="s">
        <v>67</v>
      </c>
      <c r="C4" s="39"/>
      <c r="D4" s="6"/>
      <c r="E4" s="35" t="s">
        <v>92</v>
      </c>
      <c r="F4" s="35"/>
      <c r="G4" s="35"/>
      <c r="H4" s="36">
        <f>C7-J61</f>
        <v>0</v>
      </c>
    </row>
    <row r="5" spans="1:15" ht="24.95" customHeight="1">
      <c r="B5" s="17" t="s">
        <v>14</v>
      </c>
      <c r="C5" s="18">
        <v>0</v>
      </c>
      <c r="E5" s="35"/>
      <c r="F5" s="35"/>
      <c r="G5" s="35"/>
      <c r="H5" s="36"/>
      <c r="I5" s="7"/>
    </row>
    <row r="6" spans="1:15" ht="24.95" customHeight="1">
      <c r="B6" s="17" t="s">
        <v>69</v>
      </c>
      <c r="C6" s="18">
        <v>0</v>
      </c>
      <c r="E6" s="35" t="s">
        <v>93</v>
      </c>
      <c r="F6" s="35"/>
      <c r="G6" s="35"/>
      <c r="H6" s="36">
        <f>C12-J63</f>
        <v>0</v>
      </c>
      <c r="I6" s="7"/>
    </row>
    <row r="7" spans="1:15" ht="24.95" customHeight="1">
      <c r="A7" s="4" t="s">
        <v>5</v>
      </c>
      <c r="B7" s="17" t="s">
        <v>70</v>
      </c>
      <c r="C7" s="20">
        <f>SUM(C5:C6)</f>
        <v>0</v>
      </c>
      <c r="E7" s="35"/>
      <c r="F7" s="35"/>
      <c r="G7" s="35"/>
      <c r="H7" s="36"/>
      <c r="I7" s="7"/>
    </row>
    <row r="8" spans="1:15" ht="24.95" customHeight="1">
      <c r="B8" s="2"/>
      <c r="C8" s="2"/>
      <c r="D8" s="2"/>
      <c r="E8" s="35" t="s">
        <v>94</v>
      </c>
      <c r="F8" s="35"/>
      <c r="G8" s="35"/>
      <c r="H8" s="36">
        <f>H6-H4</f>
        <v>0</v>
      </c>
      <c r="I8" s="7"/>
    </row>
    <row r="9" spans="1:15" ht="24.95" customHeight="1">
      <c r="A9" s="4" t="s">
        <v>6</v>
      </c>
      <c r="B9" s="37" t="s">
        <v>68</v>
      </c>
      <c r="C9" s="38"/>
      <c r="D9" s="6"/>
      <c r="E9" s="35"/>
      <c r="F9" s="35"/>
      <c r="G9" s="35"/>
      <c r="H9" s="36"/>
      <c r="I9" s="8"/>
    </row>
    <row r="10" spans="1:15" ht="24.95" customHeight="1">
      <c r="B10" s="17" t="s">
        <v>99</v>
      </c>
      <c r="C10" s="18">
        <v>0</v>
      </c>
      <c r="I10" s="7"/>
    </row>
    <row r="11" spans="1:15" ht="24.95" customHeight="1">
      <c r="B11" s="17" t="s">
        <v>69</v>
      </c>
      <c r="C11" s="18">
        <v>0</v>
      </c>
      <c r="E11" s="7"/>
      <c r="H11" s="11"/>
      <c r="I11" s="11"/>
    </row>
    <row r="12" spans="1:15" ht="24.95" customHeight="1">
      <c r="B12" s="19" t="s">
        <v>70</v>
      </c>
      <c r="C12" s="20">
        <f>SUM(C10:C11)</f>
        <v>0</v>
      </c>
    </row>
    <row r="14" spans="1:15" ht="24.95" customHeight="1">
      <c r="A14" s="4" t="s">
        <v>7</v>
      </c>
      <c r="B14" s="21" t="s">
        <v>74</v>
      </c>
      <c r="C14" s="21" t="s">
        <v>76</v>
      </c>
      <c r="D14" s="21" t="s">
        <v>75</v>
      </c>
      <c r="E14" s="21" t="s">
        <v>77</v>
      </c>
      <c r="F14" s="9"/>
      <c r="G14" s="21" t="s">
        <v>44</v>
      </c>
      <c r="H14" s="21" t="s">
        <v>76</v>
      </c>
      <c r="I14" s="21" t="s">
        <v>75</v>
      </c>
      <c r="J14" s="21" t="s">
        <v>77</v>
      </c>
      <c r="O14" s="22"/>
    </row>
    <row r="15" spans="1:15" ht="25.5" customHeight="1">
      <c r="B15" s="23" t="s">
        <v>78</v>
      </c>
      <c r="C15" s="24">
        <v>0</v>
      </c>
      <c r="D15" s="24">
        <v>0</v>
      </c>
      <c r="E15" s="24">
        <f>Alojamiento1438506274[[#This Row],[COSTO PREVISTO]]-Alojamiento1438506274[[#This Row],[COSTO REAL]]</f>
        <v>0</v>
      </c>
      <c r="F15" s="9"/>
      <c r="G15" s="23" t="s">
        <v>45</v>
      </c>
      <c r="H15" s="24">
        <v>0</v>
      </c>
      <c r="I15" s="24">
        <v>0</v>
      </c>
      <c r="J15" s="24">
        <f>Entretenimiento1539516375[[#This Row],[COSTO PREVISTO]]-Entretenimiento1539516375[[#This Row],[COSTO REAL]]</f>
        <v>0</v>
      </c>
    </row>
    <row r="16" spans="1:15" ht="24.95" customHeight="1">
      <c r="B16" s="23" t="s">
        <v>61</v>
      </c>
      <c r="C16" s="24">
        <v>0</v>
      </c>
      <c r="D16" s="24">
        <v>0</v>
      </c>
      <c r="E16" s="24">
        <f>Alojamiento1438506274[[#This Row],[COSTO PREVISTO]]-Alojamiento1438506274[[#This Row],[COSTO REAL]]</f>
        <v>0</v>
      </c>
      <c r="F16" s="9"/>
      <c r="G16" s="23" t="s">
        <v>46</v>
      </c>
      <c r="H16" s="24">
        <v>0</v>
      </c>
      <c r="I16" s="24">
        <v>0</v>
      </c>
      <c r="J16" s="24">
        <f>Entretenimiento1539516375[[#This Row],[COSTO PREVISTO]]-Entretenimiento1539516375[[#This Row],[COSTO REAL]]</f>
        <v>0</v>
      </c>
    </row>
    <row r="17" spans="1:10" ht="24.95" customHeight="1">
      <c r="B17" s="23" t="s">
        <v>15</v>
      </c>
      <c r="C17" s="24">
        <v>0</v>
      </c>
      <c r="D17" s="24">
        <v>0</v>
      </c>
      <c r="E17" s="24">
        <f>Alojamiento1438506274[[#This Row],[COSTO PREVISTO]]-Alojamiento1438506274[[#This Row],[COSTO REAL]]</f>
        <v>0</v>
      </c>
      <c r="F17" s="9"/>
      <c r="G17" s="23" t="s">
        <v>47</v>
      </c>
      <c r="H17" s="24">
        <v>0</v>
      </c>
      <c r="I17" s="24">
        <v>0</v>
      </c>
      <c r="J17" s="24">
        <f>Entretenimiento1539516375[[#This Row],[COSTO PREVISTO]]-Entretenimiento1539516375[[#This Row],[COSTO REAL]]</f>
        <v>0</v>
      </c>
    </row>
    <row r="18" spans="1:10" ht="24.95" customHeight="1">
      <c r="B18" s="23" t="s">
        <v>16</v>
      </c>
      <c r="C18" s="24">
        <v>0</v>
      </c>
      <c r="D18" s="24">
        <v>0</v>
      </c>
      <c r="E18" s="24">
        <f>Alojamiento1438506274[[#This Row],[COSTO PREVISTO]]-Alojamiento1438506274[[#This Row],[COSTO REAL]]</f>
        <v>0</v>
      </c>
      <c r="F18" s="9"/>
      <c r="G18" s="23" t="s">
        <v>48</v>
      </c>
      <c r="H18" s="24">
        <v>0</v>
      </c>
      <c r="I18" s="24">
        <v>0</v>
      </c>
      <c r="J18" s="24">
        <f>Entretenimiento1539516375[[#This Row],[COSTO PREVISTO]]-Entretenimiento1539516375[[#This Row],[COSTO REAL]]</f>
        <v>0</v>
      </c>
    </row>
    <row r="19" spans="1:10" ht="24.95" customHeight="1">
      <c r="B19" s="23" t="s">
        <v>71</v>
      </c>
      <c r="C19" s="24">
        <v>0</v>
      </c>
      <c r="D19" s="24">
        <v>0</v>
      </c>
      <c r="E19" s="24">
        <f>Alojamiento1438506274[[#This Row],[COSTO PREVISTO]]-Alojamiento1438506274[[#This Row],[COSTO REAL]]</f>
        <v>0</v>
      </c>
      <c r="F19" s="9"/>
      <c r="G19" s="23" t="s">
        <v>82</v>
      </c>
      <c r="H19" s="24">
        <v>0</v>
      </c>
      <c r="I19" s="24">
        <v>0</v>
      </c>
      <c r="J19" s="24">
        <f>Entretenimiento1539516375[[#This Row],[COSTO PREVISTO]]-Entretenimiento1539516375[[#This Row],[COSTO REAL]]</f>
        <v>0</v>
      </c>
    </row>
    <row r="20" spans="1:10" ht="24.95" customHeight="1">
      <c r="B20" s="23" t="s">
        <v>72</v>
      </c>
      <c r="C20" s="24">
        <v>0</v>
      </c>
      <c r="D20" s="24">
        <v>0</v>
      </c>
      <c r="E20" s="24">
        <f>Alojamiento1438506274[[#This Row],[COSTO PREVISTO]]-Alojamiento1438506274[[#This Row],[COSTO REAL]]</f>
        <v>0</v>
      </c>
      <c r="F20" s="9"/>
      <c r="G20" s="23" t="s">
        <v>49</v>
      </c>
      <c r="H20" s="24">
        <v>0</v>
      </c>
      <c r="I20" s="24">
        <v>0</v>
      </c>
      <c r="J20" s="24">
        <f>Entretenimiento1539516375[[#This Row],[COSTO PREVISTO]]-Entretenimiento1539516375[[#This Row],[COSTO REAL]]</f>
        <v>0</v>
      </c>
    </row>
    <row r="21" spans="1:10" ht="24.95" customHeight="1">
      <c r="B21" s="23" t="s">
        <v>81</v>
      </c>
      <c r="C21" s="24">
        <v>0</v>
      </c>
      <c r="D21" s="24">
        <v>0</v>
      </c>
      <c r="E21" s="24">
        <f>Alojamiento1438506274[[#This Row],[COSTO PREVISTO]]-Alojamiento1438506274[[#This Row],[COSTO REAL]]</f>
        <v>0</v>
      </c>
      <c r="F21" s="9"/>
      <c r="G21" s="23" t="s">
        <v>18</v>
      </c>
      <c r="H21" s="24">
        <v>0</v>
      </c>
      <c r="I21" s="24">
        <v>0</v>
      </c>
      <c r="J21" s="24">
        <f>Entretenimiento1539516375[[#This Row],[COSTO PREVISTO]]-Entretenimiento1539516375[[#This Row],[COSTO REAL]]</f>
        <v>0</v>
      </c>
    </row>
    <row r="22" spans="1:10" ht="24.95" customHeight="1">
      <c r="B22" s="23" t="s">
        <v>73</v>
      </c>
      <c r="C22" s="24">
        <v>0</v>
      </c>
      <c r="D22" s="24">
        <v>0</v>
      </c>
      <c r="E22" s="24">
        <f>Alojamiento1438506274[[#This Row],[COSTO PREVISTO]]-Alojamiento1438506274[[#This Row],[COSTO REAL]]</f>
        <v>0</v>
      </c>
      <c r="F22" s="9"/>
      <c r="G22" s="23" t="s">
        <v>18</v>
      </c>
      <c r="H22" s="24">
        <v>0</v>
      </c>
      <c r="I22" s="24">
        <v>0</v>
      </c>
      <c r="J22" s="24">
        <f>Entretenimiento1539516375[[#This Row],[COSTO PREVISTO]]-Entretenimiento1539516375[[#This Row],[COSTO REAL]]</f>
        <v>0</v>
      </c>
    </row>
    <row r="23" spans="1:10" ht="24.95" customHeight="1">
      <c r="B23" s="23" t="s">
        <v>17</v>
      </c>
      <c r="C23" s="24">
        <v>0</v>
      </c>
      <c r="D23" s="24">
        <v>0</v>
      </c>
      <c r="E23" s="24">
        <f>Alojamiento1438506274[[#This Row],[COSTO PREVISTO]]-Alojamiento1438506274[[#This Row],[COSTO REAL]]</f>
        <v>0</v>
      </c>
      <c r="F23" s="9"/>
      <c r="G23" s="23" t="s">
        <v>18</v>
      </c>
      <c r="H23" s="24">
        <v>0</v>
      </c>
      <c r="I23" s="24">
        <v>0</v>
      </c>
      <c r="J23" s="24">
        <f>Entretenimiento1539516375[[#This Row],[COSTO PREVISTO]]-Entretenimiento1539516375[[#This Row],[COSTO REAL]]</f>
        <v>0</v>
      </c>
    </row>
    <row r="24" spans="1:10" ht="24.95" customHeight="1">
      <c r="B24" s="23" t="s">
        <v>18</v>
      </c>
      <c r="C24" s="24">
        <v>0</v>
      </c>
      <c r="D24" s="24">
        <v>0</v>
      </c>
      <c r="E24" s="24">
        <f>Alojamiento1438506274[[#This Row],[COSTO PREVISTO]]-Alojamiento1438506274[[#This Row],[COSTO REAL]]</f>
        <v>0</v>
      </c>
      <c r="F24" s="9"/>
      <c r="G24" s="25" t="s">
        <v>19</v>
      </c>
      <c r="H24" s="27" t="s">
        <v>66</v>
      </c>
      <c r="I24" s="27" t="s">
        <v>66</v>
      </c>
      <c r="J24" s="26">
        <f>SUBTOTAL(109,Entretenimiento1539516375[DIFERENCIA])</f>
        <v>0</v>
      </c>
    </row>
    <row r="25" spans="1:10" ht="24.95" customHeight="1">
      <c r="B25" s="25" t="s">
        <v>19</v>
      </c>
      <c r="C25" s="26">
        <f>SUBTOTAL(109,Alojamiento1438506274[COSTO PREVISTO])</f>
        <v>0</v>
      </c>
      <c r="D25" s="26">
        <f>SUBTOTAL(109,Alojamiento1438506274[COSTO REAL])</f>
        <v>0</v>
      </c>
      <c r="E25" s="26">
        <f>SUBTOTAL(109,Alojamiento1438506274[DIFERENCIA])</f>
        <v>0</v>
      </c>
      <c r="F25" s="9"/>
      <c r="G25" s="41"/>
      <c r="H25" s="41"/>
      <c r="I25" s="41"/>
      <c r="J25" s="41"/>
    </row>
    <row r="26" spans="1:10" ht="24.95" customHeight="1">
      <c r="B26" s="41"/>
      <c r="C26" s="41"/>
      <c r="D26" s="41"/>
      <c r="E26" s="41"/>
      <c r="F26" s="9"/>
      <c r="G26" s="21" t="s">
        <v>50</v>
      </c>
      <c r="H26" s="21" t="s">
        <v>76</v>
      </c>
      <c r="I26" s="21" t="s">
        <v>75</v>
      </c>
      <c r="J26" s="21" t="s">
        <v>77</v>
      </c>
    </row>
    <row r="27" spans="1:10" ht="24.95" customHeight="1">
      <c r="A27" s="4" t="s">
        <v>8</v>
      </c>
      <c r="B27" s="21" t="s">
        <v>20</v>
      </c>
      <c r="C27" s="21" t="s">
        <v>40</v>
      </c>
      <c r="D27" s="21" t="s">
        <v>41</v>
      </c>
      <c r="E27" s="21" t="s">
        <v>43</v>
      </c>
      <c r="F27" s="9"/>
      <c r="G27" s="23" t="s">
        <v>51</v>
      </c>
      <c r="H27" s="24">
        <v>0</v>
      </c>
      <c r="I27" s="24">
        <v>0</v>
      </c>
      <c r="J27" s="24">
        <f>Prestamos1640526476[[#This Row],[COSTO PREVISTO]]-Prestamos1640526476[[#This Row],[COSTO REAL]]</f>
        <v>0</v>
      </c>
    </row>
    <row r="28" spans="1:10" ht="24.95" customHeight="1">
      <c r="B28" s="23" t="s">
        <v>62</v>
      </c>
      <c r="C28" s="24">
        <v>0</v>
      </c>
      <c r="D28" s="24">
        <v>0</v>
      </c>
      <c r="E28" s="24">
        <f>Transporte1741536577[[#This Row],[Costo previsto]]-Transporte1741536577[[#This Row],[Costo real]]</f>
        <v>0</v>
      </c>
      <c r="F28" s="9"/>
      <c r="G28" s="23" t="s">
        <v>52</v>
      </c>
      <c r="H28" s="24">
        <v>0</v>
      </c>
      <c r="I28" s="24">
        <v>0</v>
      </c>
      <c r="J28" s="24">
        <f>Prestamos1640526476[[#This Row],[COSTO PREVISTO]]-Prestamos1640526476[[#This Row],[COSTO REAL]]</f>
        <v>0</v>
      </c>
    </row>
    <row r="29" spans="1:10" ht="24.95" customHeight="1">
      <c r="B29" s="23" t="s">
        <v>83</v>
      </c>
      <c r="C29" s="24">
        <v>0</v>
      </c>
      <c r="D29" s="24">
        <v>0</v>
      </c>
      <c r="E29" s="24">
        <f>Transporte1741536577[[#This Row],[Costo previsto]]-Transporte1741536577[[#This Row],[Costo real]]</f>
        <v>0</v>
      </c>
      <c r="F29" s="9"/>
      <c r="G29" s="23" t="s">
        <v>53</v>
      </c>
      <c r="H29" s="24">
        <v>0</v>
      </c>
      <c r="I29" s="24">
        <v>0</v>
      </c>
      <c r="J29" s="24">
        <f>Prestamos1640526476[[#This Row],[COSTO PREVISTO]]-Prestamos1640526476[[#This Row],[COSTO REAL]]</f>
        <v>0</v>
      </c>
    </row>
    <row r="30" spans="1:10" ht="24.95" customHeight="1">
      <c r="B30" s="23" t="s">
        <v>21</v>
      </c>
      <c r="C30" s="24">
        <v>0</v>
      </c>
      <c r="D30" s="24">
        <v>0</v>
      </c>
      <c r="E30" s="24">
        <f>Transporte1741536577[[#This Row],[Costo previsto]]-Transporte1741536577[[#This Row],[Costo real]]</f>
        <v>0</v>
      </c>
      <c r="F30" s="9"/>
      <c r="G30" s="23" t="s">
        <v>53</v>
      </c>
      <c r="H30" s="24">
        <v>0</v>
      </c>
      <c r="I30" s="24">
        <v>0</v>
      </c>
      <c r="J30" s="24">
        <f>Prestamos1640526476[[#This Row],[COSTO PREVISTO]]-Prestamos1640526476[[#This Row],[COSTO REAL]]</f>
        <v>0</v>
      </c>
    </row>
    <row r="31" spans="1:10" ht="24.95" customHeight="1">
      <c r="B31" s="23" t="s">
        <v>22</v>
      </c>
      <c r="C31" s="24">
        <v>0</v>
      </c>
      <c r="D31" s="24">
        <v>0</v>
      </c>
      <c r="E31" s="24">
        <f>Transporte1741536577[[#This Row],[Costo previsto]]-Transporte1741536577[[#This Row],[Costo real]]</f>
        <v>0</v>
      </c>
      <c r="F31" s="9"/>
      <c r="G31" s="23" t="s">
        <v>53</v>
      </c>
      <c r="H31" s="24">
        <v>0</v>
      </c>
      <c r="I31" s="24">
        <v>0</v>
      </c>
      <c r="J31" s="24">
        <f>Prestamos1640526476[[#This Row],[COSTO PREVISTO]]-Prestamos1640526476[[#This Row],[COSTO REAL]]</f>
        <v>0</v>
      </c>
    </row>
    <row r="32" spans="1:10" ht="24.95" customHeight="1">
      <c r="B32" s="23" t="s">
        <v>23</v>
      </c>
      <c r="C32" s="24">
        <v>0</v>
      </c>
      <c r="D32" s="24">
        <v>0</v>
      </c>
      <c r="E32" s="24">
        <f>Transporte1741536577[[#This Row],[Costo previsto]]-Transporte1741536577[[#This Row],[Costo real]]</f>
        <v>0</v>
      </c>
      <c r="F32" s="9"/>
      <c r="G32" s="23" t="s">
        <v>18</v>
      </c>
      <c r="H32" s="24">
        <v>0</v>
      </c>
      <c r="I32" s="24">
        <v>0</v>
      </c>
      <c r="J32" s="24">
        <f>Prestamos1640526476[[#This Row],[COSTO PREVISTO]]-Prestamos1640526476[[#This Row],[COSTO REAL]]</f>
        <v>0</v>
      </c>
    </row>
    <row r="33" spans="1:10" ht="24.95" customHeight="1">
      <c r="B33" s="23" t="s">
        <v>24</v>
      </c>
      <c r="C33" s="24">
        <v>0</v>
      </c>
      <c r="D33" s="24">
        <v>0</v>
      </c>
      <c r="E33" s="24">
        <f>Transporte1741536577[[#This Row],[Costo previsto]]-Transporte1741536577[[#This Row],[Costo real]]</f>
        <v>0</v>
      </c>
      <c r="F33" s="9"/>
      <c r="G33" s="25" t="s">
        <v>19</v>
      </c>
      <c r="H33" s="27" t="s">
        <v>66</v>
      </c>
      <c r="I33" s="27" t="s">
        <v>66</v>
      </c>
      <c r="J33" s="26">
        <f>SUBTOTAL(109,Prestamos1640526476[DIFERENCIA])</f>
        <v>0</v>
      </c>
    </row>
    <row r="34" spans="1:10" ht="24.95" customHeight="1">
      <c r="B34" s="23" t="s">
        <v>64</v>
      </c>
      <c r="C34" s="24">
        <v>0</v>
      </c>
      <c r="D34" s="24">
        <v>0</v>
      </c>
      <c r="E34" s="24">
        <f>Transporte1741536577[[#This Row],[Costo previsto]]-Transporte1741536577[[#This Row],[Costo real]]</f>
        <v>0</v>
      </c>
      <c r="F34" s="9"/>
      <c r="G34" s="41"/>
      <c r="H34" s="41"/>
      <c r="I34" s="41"/>
      <c r="J34" s="41"/>
    </row>
    <row r="35" spans="1:10" ht="24.95" customHeight="1">
      <c r="B35" s="25" t="s">
        <v>19</v>
      </c>
      <c r="C35" s="26">
        <f>SUBTOTAL(109,Transporte1741536577[Costo previsto])</f>
        <v>0</v>
      </c>
      <c r="D35" s="26">
        <f>SUBTOTAL(109,Transporte1741536577[Costo real])</f>
        <v>0</v>
      </c>
      <c r="E35" s="26">
        <f>SUBTOTAL(109,Transporte1741536577[Diferencia])</f>
        <v>0</v>
      </c>
      <c r="F35" s="9"/>
      <c r="G35" s="21" t="s">
        <v>54</v>
      </c>
      <c r="H35" s="21" t="s">
        <v>76</v>
      </c>
      <c r="I35" s="21" t="s">
        <v>75</v>
      </c>
      <c r="J35" s="21" t="s">
        <v>77</v>
      </c>
    </row>
    <row r="36" spans="1:10" ht="24.95" customHeight="1">
      <c r="B36" s="41"/>
      <c r="C36" s="41"/>
      <c r="D36" s="41"/>
      <c r="E36" s="41"/>
      <c r="F36" s="9"/>
      <c r="G36" s="23" t="s">
        <v>55</v>
      </c>
      <c r="H36" s="24">
        <v>0</v>
      </c>
      <c r="I36" s="24">
        <v>0</v>
      </c>
      <c r="J36" s="24">
        <f>Impuestos1943556779[[#This Row],[COSTO PREVISTO]]-Impuestos1943556779[[#This Row],[COSTO REAL]]</f>
        <v>0</v>
      </c>
    </row>
    <row r="37" spans="1:10" ht="24.95" customHeight="1">
      <c r="A37" s="4" t="s">
        <v>9</v>
      </c>
      <c r="B37" s="21" t="s">
        <v>25</v>
      </c>
      <c r="C37" s="21" t="s">
        <v>76</v>
      </c>
      <c r="D37" s="21" t="s">
        <v>75</v>
      </c>
      <c r="E37" s="21" t="s">
        <v>77</v>
      </c>
      <c r="F37" s="9"/>
      <c r="G37" s="23" t="s">
        <v>56</v>
      </c>
      <c r="H37" s="24">
        <v>0</v>
      </c>
      <c r="I37" s="24">
        <v>0</v>
      </c>
      <c r="J37" s="24">
        <f>Impuestos1943556779[[#This Row],[COSTO PREVISTO]]-Impuestos1943556779[[#This Row],[COSTO REAL]]</f>
        <v>0</v>
      </c>
    </row>
    <row r="38" spans="1:10" ht="24.95" customHeight="1">
      <c r="B38" s="23" t="s">
        <v>26</v>
      </c>
      <c r="C38" s="24">
        <v>0</v>
      </c>
      <c r="D38" s="24">
        <v>0</v>
      </c>
      <c r="E38" s="24">
        <f>Seguro1842546678[[#This Row],[COSTO PREVISTO]]-Seguro1842546678[[#This Row],[COSTO REAL]]</f>
        <v>0</v>
      </c>
      <c r="F38" s="9"/>
      <c r="G38" s="23" t="s">
        <v>57</v>
      </c>
      <c r="H38" s="24">
        <v>0</v>
      </c>
      <c r="I38" s="24">
        <v>0</v>
      </c>
      <c r="J38" s="24">
        <f>Impuestos1943556779[[#This Row],[COSTO PREVISTO]]-Impuestos1943556779[[#This Row],[COSTO REAL]]</f>
        <v>0</v>
      </c>
    </row>
    <row r="39" spans="1:10" ht="24.95" customHeight="1">
      <c r="B39" s="23" t="s">
        <v>98</v>
      </c>
      <c r="C39" s="24">
        <v>0</v>
      </c>
      <c r="D39" s="24">
        <v>0</v>
      </c>
      <c r="E39" s="24">
        <f>Seguro1842546678[[#This Row],[COSTO PREVISTO]]-Seguro1842546678[[#This Row],[COSTO REAL]]</f>
        <v>0</v>
      </c>
      <c r="F39" s="9"/>
      <c r="G39" s="23" t="s">
        <v>18</v>
      </c>
      <c r="H39" s="24">
        <v>0</v>
      </c>
      <c r="I39" s="24">
        <v>0</v>
      </c>
      <c r="J39" s="24">
        <f>Impuestos1943556779[[#This Row],[COSTO PREVISTO]]-Impuestos1943556779[[#This Row],[COSTO REAL]]</f>
        <v>0</v>
      </c>
    </row>
    <row r="40" spans="1:10" ht="24.95" customHeight="1">
      <c r="B40" s="23" t="s">
        <v>27</v>
      </c>
      <c r="C40" s="24">
        <v>0</v>
      </c>
      <c r="D40" s="24">
        <v>0</v>
      </c>
      <c r="E40" s="24">
        <f>Seguro1842546678[[#This Row],[COSTO PREVISTO]]-Seguro1842546678[[#This Row],[COSTO REAL]]</f>
        <v>0</v>
      </c>
      <c r="F40" s="9"/>
      <c r="G40" s="25" t="s">
        <v>19</v>
      </c>
      <c r="H40" s="27" t="s">
        <v>66</v>
      </c>
      <c r="I40" s="27" t="s">
        <v>66</v>
      </c>
      <c r="J40" s="26">
        <f>SUBTOTAL(109,Impuestos1943556779[DIFERENCIA])</f>
        <v>0</v>
      </c>
    </row>
    <row r="41" spans="1:10" ht="24.95" customHeight="1">
      <c r="B41" s="23" t="s">
        <v>18</v>
      </c>
      <c r="C41" s="24">
        <v>0</v>
      </c>
      <c r="D41" s="24">
        <v>0</v>
      </c>
      <c r="E41" s="24">
        <f>Seguro1842546678[[#This Row],[COSTO PREVISTO]]-Seguro1842546678[[#This Row],[COSTO REAL]]</f>
        <v>0</v>
      </c>
      <c r="F41" s="9"/>
      <c r="G41" s="41"/>
      <c r="H41" s="41"/>
      <c r="I41" s="41"/>
      <c r="J41" s="41"/>
    </row>
    <row r="42" spans="1:10" ht="24.95" customHeight="1">
      <c r="B42" s="25" t="s">
        <v>19</v>
      </c>
      <c r="C42" s="26">
        <f>SUBTOTAL(109,Seguro1842546678[COSTO PREVISTO])</f>
        <v>0</v>
      </c>
      <c r="D42" s="26">
        <f>SUBTOTAL(109,Seguro1842546678[COSTO REAL])</f>
        <v>0</v>
      </c>
      <c r="E42" s="26">
        <f>SUBTOTAL(109,Seguro1842546678[DIFERENCIA])</f>
        <v>0</v>
      </c>
      <c r="F42" s="9"/>
      <c r="G42" s="21" t="s">
        <v>58</v>
      </c>
      <c r="H42" s="21" t="s">
        <v>76</v>
      </c>
      <c r="I42" s="21" t="s">
        <v>75</v>
      </c>
      <c r="J42" s="21" t="s">
        <v>77</v>
      </c>
    </row>
    <row r="43" spans="1:10" ht="24.95" customHeight="1">
      <c r="B43" s="41"/>
      <c r="C43" s="41"/>
      <c r="D43" s="41"/>
      <c r="E43" s="41"/>
      <c r="F43" s="9"/>
      <c r="G43" s="23" t="s">
        <v>96</v>
      </c>
      <c r="H43" s="24">
        <v>0</v>
      </c>
      <c r="I43" s="24">
        <v>0</v>
      </c>
      <c r="J43" s="24">
        <f>Ahorros2044566880[[#This Row],[COSTO PREVISTO]]-Ahorros2044566880[[#This Row],[COSTO REAL]]</f>
        <v>0</v>
      </c>
    </row>
    <row r="44" spans="1:10" ht="24.95" customHeight="1">
      <c r="A44" s="4" t="s">
        <v>10</v>
      </c>
      <c r="B44" s="21" t="s">
        <v>28</v>
      </c>
      <c r="C44" s="21" t="s">
        <v>76</v>
      </c>
      <c r="D44" s="21" t="s">
        <v>75</v>
      </c>
      <c r="E44" s="21" t="s">
        <v>77</v>
      </c>
      <c r="F44" s="9"/>
      <c r="G44" s="23" t="s">
        <v>97</v>
      </c>
      <c r="H44" s="24">
        <v>0</v>
      </c>
      <c r="I44" s="24">
        <v>0</v>
      </c>
      <c r="J44" s="24">
        <f>Ahorros2044566880[[#This Row],[COSTO PREVISTO]]-Ahorros2044566880[[#This Row],[COSTO REAL]]</f>
        <v>0</v>
      </c>
    </row>
    <row r="45" spans="1:10" ht="24.95" customHeight="1">
      <c r="B45" s="23" t="s">
        <v>29</v>
      </c>
      <c r="C45" s="24">
        <v>0</v>
      </c>
      <c r="D45" s="24">
        <v>0</v>
      </c>
      <c r="E45" s="24">
        <f>Comida2145576981[[#This Row],[COSTO PREVISTO]]-Comida2145576981[[#This Row],[COSTO REAL]]</f>
        <v>0</v>
      </c>
      <c r="F45" s="9"/>
      <c r="G45" s="23" t="s">
        <v>18</v>
      </c>
      <c r="H45" s="24">
        <v>0</v>
      </c>
      <c r="I45" s="24">
        <v>0</v>
      </c>
      <c r="J45" s="24">
        <f>Ahorros2044566880[[#This Row],[COSTO PREVISTO]]-Ahorros2044566880[[#This Row],[COSTO REAL]]</f>
        <v>0</v>
      </c>
    </row>
    <row r="46" spans="1:10" ht="24.95" customHeight="1">
      <c r="B46" s="23" t="s">
        <v>30</v>
      </c>
      <c r="C46" s="24">
        <v>0</v>
      </c>
      <c r="D46" s="24">
        <v>0</v>
      </c>
      <c r="E46" s="24">
        <f>Comida2145576981[[#This Row],[COSTO PREVISTO]]-Comida2145576981[[#This Row],[COSTO REAL]]</f>
        <v>0</v>
      </c>
      <c r="F46" s="9"/>
      <c r="G46" s="25" t="s">
        <v>19</v>
      </c>
      <c r="H46" s="27" t="s">
        <v>66</v>
      </c>
      <c r="I46" s="27" t="s">
        <v>66</v>
      </c>
      <c r="J46" s="26">
        <f>SUBTOTAL(109,Ahorros2044566880[DIFERENCIA])</f>
        <v>0</v>
      </c>
    </row>
    <row r="47" spans="1:10" ht="24.95" customHeight="1">
      <c r="B47" s="23" t="s">
        <v>65</v>
      </c>
      <c r="C47" s="24">
        <v>0</v>
      </c>
      <c r="D47" s="24">
        <v>0</v>
      </c>
      <c r="E47" s="24">
        <f>Comida2145576981[[#This Row],[COSTO PREVISTO]]-Comida2145576981[[#This Row],[COSTO REAL]]</f>
        <v>0</v>
      </c>
      <c r="F47" s="9"/>
      <c r="G47" s="41"/>
      <c r="H47" s="41"/>
      <c r="I47" s="41"/>
      <c r="J47" s="41"/>
    </row>
    <row r="48" spans="1:10" ht="24.95" customHeight="1">
      <c r="B48" s="25" t="s">
        <v>19</v>
      </c>
      <c r="C48" s="26">
        <f>SUBTOTAL(109,Comida2145576981[COSTO PREVISTO])</f>
        <v>0</v>
      </c>
      <c r="D48" s="26">
        <f>SUBTOTAL(109,Comida2145576981[COSTO REAL])</f>
        <v>0</v>
      </c>
      <c r="E48" s="26">
        <f>SUBTOTAL(109,Comida2145576981[DIFERENCIA])</f>
        <v>0</v>
      </c>
      <c r="F48" s="9"/>
      <c r="G48" s="21" t="s">
        <v>79</v>
      </c>
      <c r="H48" s="21" t="s">
        <v>76</v>
      </c>
      <c r="I48" s="21" t="s">
        <v>80</v>
      </c>
      <c r="J48" s="21" t="s">
        <v>77</v>
      </c>
    </row>
    <row r="49" spans="1:10" ht="24.95" customHeight="1">
      <c r="B49" s="41"/>
      <c r="C49" s="41"/>
      <c r="D49" s="41"/>
      <c r="E49" s="41"/>
      <c r="F49" s="9"/>
      <c r="G49" s="23" t="s">
        <v>85</v>
      </c>
      <c r="H49" s="24">
        <v>0</v>
      </c>
      <c r="I49" s="24">
        <v>0</v>
      </c>
      <c r="J49" s="24">
        <f>Regalos2246587082[[#This Row],[COSTO PREVISTO]]-Regalos2246587082[[#This Row],[COSTO REAL ]]</f>
        <v>0</v>
      </c>
    </row>
    <row r="50" spans="1:10" ht="24.95" customHeight="1">
      <c r="A50" s="4" t="s">
        <v>11</v>
      </c>
      <c r="B50" s="21" t="s">
        <v>31</v>
      </c>
      <c r="C50" s="21" t="s">
        <v>76</v>
      </c>
      <c r="D50" s="21" t="s">
        <v>75</v>
      </c>
      <c r="E50" s="21" t="s">
        <v>77</v>
      </c>
      <c r="F50" s="9"/>
      <c r="G50" s="23" t="s">
        <v>84</v>
      </c>
      <c r="H50" s="24">
        <v>0</v>
      </c>
      <c r="I50" s="24">
        <v>0</v>
      </c>
      <c r="J50" s="24">
        <f>Regalos2246587082[[#This Row],[COSTO PREVISTO]]-Regalos2246587082[[#This Row],[COSTO REAL ]]</f>
        <v>0</v>
      </c>
    </row>
    <row r="51" spans="1:10" ht="24.95" customHeight="1">
      <c r="B51" s="23" t="s">
        <v>32</v>
      </c>
      <c r="C51" s="24">
        <v>0</v>
      </c>
      <c r="D51" s="24">
        <v>0</v>
      </c>
      <c r="E51" s="24">
        <f>Mascotas2347597183[[#This Row],[COSTO PREVISTO]]-Mascotas2347597183[[#This Row],[COSTO REAL]]</f>
        <v>0</v>
      </c>
      <c r="F51" s="9"/>
      <c r="G51" s="23" t="s">
        <v>63</v>
      </c>
      <c r="H51" s="24">
        <v>0</v>
      </c>
      <c r="I51" s="24">
        <v>0</v>
      </c>
      <c r="J51" s="24">
        <f>Regalos2246587082[[#This Row],[COSTO PREVISTO]]-Regalos2246587082[[#This Row],[COSTO REAL ]]</f>
        <v>0</v>
      </c>
    </row>
    <row r="52" spans="1:10" ht="24.95" customHeight="1">
      <c r="B52" s="23" t="s">
        <v>33</v>
      </c>
      <c r="C52" s="24">
        <v>0</v>
      </c>
      <c r="D52" s="24">
        <v>0</v>
      </c>
      <c r="E52" s="24">
        <f>Mascotas2347597183[[#This Row],[COSTO PREVISTO]]-Mascotas2347597183[[#This Row],[COSTO REAL]]</f>
        <v>0</v>
      </c>
      <c r="F52" s="9"/>
      <c r="G52" s="25" t="s">
        <v>19</v>
      </c>
      <c r="H52" s="27">
        <f>SUBTOTAL(109,Regalos2246587082[COSTO PREVISTO])</f>
        <v>0</v>
      </c>
      <c r="I52" s="27" t="s">
        <v>66</v>
      </c>
      <c r="J52" s="26">
        <f>SUBTOTAL(109,Regalos2246587082[DIFERENCIA])</f>
        <v>0</v>
      </c>
    </row>
    <row r="53" spans="1:10" ht="24.95" customHeight="1">
      <c r="B53" s="23" t="s">
        <v>34</v>
      </c>
      <c r="C53" s="24">
        <v>0</v>
      </c>
      <c r="D53" s="24">
        <v>0</v>
      </c>
      <c r="E53" s="24">
        <f>Mascotas2347597183[[#This Row],[COSTO PREVISTO]]-Mascotas2347597183[[#This Row],[COSTO REAL]]</f>
        <v>0</v>
      </c>
      <c r="F53" s="9"/>
      <c r="G53" s="41"/>
      <c r="H53" s="41"/>
      <c r="I53" s="41"/>
      <c r="J53" s="41"/>
    </row>
    <row r="54" spans="1:10" ht="24.95" customHeight="1">
      <c r="B54" s="23" t="s">
        <v>35</v>
      </c>
      <c r="C54" s="24">
        <v>0</v>
      </c>
      <c r="D54" s="24">
        <v>0</v>
      </c>
      <c r="E54" s="24">
        <f>Mascotas2347597183[[#This Row],[COSTO PREVISTO]]-Mascotas2347597183[[#This Row],[COSTO REAL]]</f>
        <v>0</v>
      </c>
      <c r="F54" s="9"/>
      <c r="G54" s="21" t="s">
        <v>59</v>
      </c>
      <c r="H54" s="21" t="s">
        <v>76</v>
      </c>
      <c r="I54" s="21" t="s">
        <v>75</v>
      </c>
      <c r="J54" s="21" t="s">
        <v>77</v>
      </c>
    </row>
    <row r="55" spans="1:10" ht="24.95" customHeight="1">
      <c r="B55" s="23" t="s">
        <v>18</v>
      </c>
      <c r="C55" s="24">
        <v>0</v>
      </c>
      <c r="D55" s="24">
        <v>0</v>
      </c>
      <c r="E55" s="24">
        <f>Mascotas2347597183[[#This Row],[COSTO PREVISTO]]-Mascotas2347597183[[#This Row],[COSTO REAL]]</f>
        <v>0</v>
      </c>
      <c r="F55" s="9"/>
      <c r="G55" s="23" t="s">
        <v>60</v>
      </c>
      <c r="H55" s="24">
        <v>0</v>
      </c>
      <c r="I55" s="24">
        <v>0</v>
      </c>
      <c r="J55" s="24">
        <f>Legal2448607284[[#This Row],[COSTO PREVISTO]]-Legal2448607284[[#This Row],[COSTO REAL]]</f>
        <v>0</v>
      </c>
    </row>
    <row r="56" spans="1:10" ht="24.95" customHeight="1">
      <c r="B56" s="25" t="s">
        <v>19</v>
      </c>
      <c r="C56" s="26">
        <f>SUBTOTAL(109,Mascotas2347597183[COSTO PREVISTO])</f>
        <v>0</v>
      </c>
      <c r="D56" s="26">
        <f>SUBTOTAL(109,Mascotas2347597183[COSTO REAL])</f>
        <v>0</v>
      </c>
      <c r="E56" s="26">
        <f>SUBTOTAL(109,Mascotas2347597183[DIFERENCIA])</f>
        <v>0</v>
      </c>
      <c r="F56" s="9"/>
      <c r="G56" s="23" t="s">
        <v>86</v>
      </c>
      <c r="H56" s="24">
        <v>0</v>
      </c>
      <c r="I56" s="24">
        <v>0</v>
      </c>
      <c r="J56" s="24">
        <f>Legal2448607284[[#This Row],[COSTO PREVISTO]]-Legal2448607284[[#This Row],[COSTO REAL]]</f>
        <v>0</v>
      </c>
    </row>
    <row r="57" spans="1:10" ht="24.95" customHeight="1">
      <c r="B57" s="41"/>
      <c r="C57" s="41"/>
      <c r="D57" s="41"/>
      <c r="E57" s="41"/>
      <c r="F57" s="9"/>
      <c r="G57" s="23" t="s">
        <v>87</v>
      </c>
      <c r="H57" s="24">
        <v>0</v>
      </c>
      <c r="I57" s="24">
        <v>0</v>
      </c>
      <c r="J57" s="24">
        <f>Legal2448607284[[#This Row],[COSTO PREVISTO]]-Legal2448607284[[#This Row],[COSTO REAL]]</f>
        <v>0</v>
      </c>
    </row>
    <row r="58" spans="1:10" ht="24.95" customHeight="1">
      <c r="A58" s="4" t="s">
        <v>12</v>
      </c>
      <c r="B58" s="21" t="s">
        <v>36</v>
      </c>
      <c r="C58" s="21" t="s">
        <v>40</v>
      </c>
      <c r="D58" s="21" t="s">
        <v>42</v>
      </c>
      <c r="E58" s="21" t="s">
        <v>43</v>
      </c>
      <c r="F58" s="9"/>
      <c r="G58" s="23" t="s">
        <v>18</v>
      </c>
      <c r="H58" s="24">
        <v>0</v>
      </c>
      <c r="I58" s="24">
        <v>0</v>
      </c>
      <c r="J58" s="24">
        <f>Legal2448607284[[#This Row],[COSTO PREVISTO]]-Legal2448607284[[#This Row],[COSTO REAL]]</f>
        <v>0</v>
      </c>
    </row>
    <row r="59" spans="1:10" ht="24.95" customHeight="1">
      <c r="B59" s="23" t="s">
        <v>33</v>
      </c>
      <c r="C59" s="24">
        <v>0</v>
      </c>
      <c r="D59" s="24">
        <v>0</v>
      </c>
      <c r="E59" s="24">
        <f>CuidadoPersonal2549617385[[#This Row],[Costo previsto]]-CuidadoPersonal2549617385[[#This Row],[Coste real]]</f>
        <v>0</v>
      </c>
      <c r="F59" s="9"/>
      <c r="G59" s="25" t="s">
        <v>19</v>
      </c>
      <c r="H59" s="27" t="s">
        <v>66</v>
      </c>
      <c r="I59" s="27" t="s">
        <v>66</v>
      </c>
      <c r="J59" s="26">
        <f>SUBTOTAL(109,Legal2448607284[DIFERENCIA])</f>
        <v>0</v>
      </c>
    </row>
    <row r="60" spans="1:10" ht="24.95" customHeight="1">
      <c r="B60" s="23" t="s">
        <v>95</v>
      </c>
      <c r="C60" s="24">
        <v>0</v>
      </c>
      <c r="D60" s="24">
        <v>0</v>
      </c>
      <c r="E60" s="24">
        <f>CuidadoPersonal2549617385[[#This Row],[Costo previsto]]-CuidadoPersonal2549617385[[#This Row],[Coste real]]</f>
        <v>0</v>
      </c>
      <c r="F60" s="9"/>
      <c r="G60" s="41"/>
      <c r="H60" s="41"/>
      <c r="I60" s="41"/>
      <c r="J60" s="41"/>
    </row>
    <row r="61" spans="1:10" ht="24.95" customHeight="1">
      <c r="A61" s="4" t="s">
        <v>13</v>
      </c>
      <c r="B61" s="23" t="s">
        <v>37</v>
      </c>
      <c r="C61" s="24">
        <v>0</v>
      </c>
      <c r="D61" s="24">
        <v>0</v>
      </c>
      <c r="E61" s="24">
        <f>CuidadoPersonal2549617385[[#This Row],[Costo previsto]]-CuidadoPersonal2549617385[[#This Row],[Coste real]]</f>
        <v>0</v>
      </c>
      <c r="F61" s="9"/>
      <c r="G61" s="35" t="s">
        <v>89</v>
      </c>
      <c r="H61" s="35"/>
      <c r="I61" s="35"/>
      <c r="J61" s="40">
        <f>SUBTOTAL(109,Alojamiento1438506274[COSTO PREVISTO],Transporte1741536577[Costo previsto],Seguro1842546678[COSTO PREVISTO],Comida2145576981[COSTO PREVISTO],Mascotas2347597183[COSTO PREVISTO],CuidadoPersonal2549617385[Costo previsto],Entretenimiento1539516375[COSTO PREVISTO],Prestamos1640526476[COSTO PREVISTO],Impuestos1943556779[COSTO PREVISTO],Ahorros2044566880[COSTO PREVISTO],Regalos2246587082[COSTO PREVISTO],Legal2448607284[COSTO PREVISTO])</f>
        <v>0</v>
      </c>
    </row>
    <row r="62" spans="1:10" ht="24.95" customHeight="1">
      <c r="B62" s="23" t="s">
        <v>38</v>
      </c>
      <c r="C62" s="24">
        <v>0</v>
      </c>
      <c r="D62" s="24">
        <v>0</v>
      </c>
      <c r="E62" s="24">
        <f>CuidadoPersonal2549617385[[#This Row],[Costo previsto]]-CuidadoPersonal2549617385[[#This Row],[Coste real]]</f>
        <v>0</v>
      </c>
      <c r="F62" s="9"/>
      <c r="G62" s="35"/>
      <c r="H62" s="35"/>
      <c r="I62" s="35"/>
      <c r="J62" s="40"/>
    </row>
    <row r="63" spans="1:10" ht="24.95" customHeight="1">
      <c r="B63" s="23" t="s">
        <v>39</v>
      </c>
      <c r="C63" s="24">
        <v>0</v>
      </c>
      <c r="D63" s="24">
        <v>0</v>
      </c>
      <c r="E63" s="24">
        <f>CuidadoPersonal2549617385[[#This Row],[Costo previsto]]-CuidadoPersonal2549617385[[#This Row],[Coste real]]</f>
        <v>0</v>
      </c>
      <c r="F63" s="9"/>
      <c r="G63" s="35" t="s">
        <v>90</v>
      </c>
      <c r="H63" s="35"/>
      <c r="I63" s="35"/>
      <c r="J63" s="40">
        <f>SUBTOTAL(109,Alojamiento1438506274[COSTO REAL],Transporte1741536577[Costo real],Seguro1842546678[COSTO REAL],Comida2145576981[COSTO REAL],Mascotas2347597183[COSTO REAL],CuidadoPersonal2549617385[Coste real],Entretenimiento1539516375[COSTO REAL],Prestamos1640526476[COSTO REAL],Impuestos1943556779[COSTO REAL],Ahorros2044566880[COSTO REAL],Regalos2246587082[[COSTO REAL ]],Legal2448607284[COSTO REAL])</f>
        <v>0</v>
      </c>
    </row>
    <row r="64" spans="1:10" ht="24.95" customHeight="1">
      <c r="B64" s="23" t="s">
        <v>88</v>
      </c>
      <c r="C64" s="24">
        <v>0</v>
      </c>
      <c r="D64" s="24">
        <v>0</v>
      </c>
      <c r="E64" s="24">
        <f>CuidadoPersonal2549617385[[#This Row],[Costo previsto]]-CuidadoPersonal2549617385[[#This Row],[Coste real]]</f>
        <v>0</v>
      </c>
      <c r="F64" s="9"/>
      <c r="G64" s="35"/>
      <c r="H64" s="35"/>
      <c r="I64" s="35"/>
      <c r="J64" s="40"/>
    </row>
    <row r="65" spans="2:10" ht="24.95" customHeight="1">
      <c r="B65" s="23" t="s">
        <v>18</v>
      </c>
      <c r="C65" s="24">
        <v>0</v>
      </c>
      <c r="D65" s="24">
        <v>0</v>
      </c>
      <c r="E65" s="24">
        <f>CuidadoPersonal2549617385[[#This Row],[Costo previsto]]-CuidadoPersonal2549617385[[#This Row],[Coste real]]</f>
        <v>0</v>
      </c>
      <c r="F65" s="9"/>
      <c r="G65" s="35" t="s">
        <v>91</v>
      </c>
      <c r="H65" s="35"/>
      <c r="I65" s="35"/>
      <c r="J65" s="40">
        <f>J61-J63</f>
        <v>0</v>
      </c>
    </row>
    <row r="66" spans="2:10" ht="24.95" customHeight="1">
      <c r="B66" s="25" t="s">
        <v>19</v>
      </c>
      <c r="C66" s="26">
        <f>SUBTOTAL(109,CuidadoPersonal2549617385[Costo previsto])</f>
        <v>0</v>
      </c>
      <c r="D66" s="26">
        <f>SUBTOTAL(109,CuidadoPersonal2549617385[Coste real])</f>
        <v>0</v>
      </c>
      <c r="E66" s="26">
        <f>SUBTOTAL(109,CuidadoPersonal2549617385[Diferencia])</f>
        <v>0</v>
      </c>
      <c r="F66" s="9"/>
      <c r="G66" s="35"/>
      <c r="H66" s="35"/>
      <c r="I66" s="35"/>
      <c r="J66" s="40"/>
    </row>
    <row r="67" spans="2:10">
      <c r="B67" s="42"/>
      <c r="C67" s="42"/>
      <c r="D67" s="42"/>
      <c r="E67" s="42"/>
    </row>
  </sheetData>
  <mergeCells count="26">
    <mergeCell ref="G63:I64"/>
    <mergeCell ref="J63:J64"/>
    <mergeCell ref="G65:I66"/>
    <mergeCell ref="J65:J66"/>
    <mergeCell ref="B67:E67"/>
    <mergeCell ref="G61:I62"/>
    <mergeCell ref="J61:J62"/>
    <mergeCell ref="G25:J25"/>
    <mergeCell ref="B26:E26"/>
    <mergeCell ref="G34:J34"/>
    <mergeCell ref="B36:E36"/>
    <mergeCell ref="G41:J41"/>
    <mergeCell ref="B43:E43"/>
    <mergeCell ref="G47:J47"/>
    <mergeCell ref="B49:E49"/>
    <mergeCell ref="G53:J53"/>
    <mergeCell ref="B57:E57"/>
    <mergeCell ref="G60:J60"/>
    <mergeCell ref="E8:G9"/>
    <mergeCell ref="H8:H9"/>
    <mergeCell ref="B9:C9"/>
    <mergeCell ref="B4:C4"/>
    <mergeCell ref="E4:G5"/>
    <mergeCell ref="H4:H5"/>
    <mergeCell ref="E6:G7"/>
    <mergeCell ref="H6:H7"/>
  </mergeCells>
  <dataValidations count="12">
    <dataValidation allowBlank="1" showInputMessage="1" showErrorMessage="1" prompt="El total de gastos previstos se calcula automáticamente en la celda J61; el total del gasto real, en la J63; y la diferencia total, en la celda J65." sqref="A61"/>
    <dataValidation allowBlank="1" showInputMessage="1" showErrorMessage="1" prompt="Escriba la información en la tabla Cuidado personal, empezando por la celda de la derecha y en la tabla Legal, empezando por la celda G54. La instrucción siguiente se encuentra en la celda A61." sqref="A58"/>
    <dataValidation allowBlank="1" showInputMessage="1" showErrorMessage="1" prompt="Escriba la información en la tabla Mascotas, empezando por la celda de la derecha y en la tabla Regalos, empezando por la celda G48. La instrucción siguiente se encuentra en la celda A58." sqref="A50"/>
    <dataValidation allowBlank="1" showInputMessage="1" showErrorMessage="1" prompt="Escriba la información en la tabla Comida, empezando por la celda de la derecha y en la tabla Ahorros, empezando por la celda G42. La instrucción siguiente se encuentra en la celda A50." sqref="A44"/>
    <dataValidation allowBlank="1" showInputMessage="1" showErrorMessage="1" prompt="Escriba la información en la tabla Seguro, empezando por la celda de la derecha y en la tabla Impuestos, empezando por la celda G35. La instrucción siguiente se encuentra en la celda A44." sqref="A37"/>
    <dataValidation allowBlank="1" showInputMessage="1" showErrorMessage="1" prompt="Escriba la información en la tabla Transporte, empezando por la celda de la derecha y en la tabla Préstamos, empezando por la celda G26. La instrucción siguiente se encuentra en la celda A37." sqref="A27"/>
    <dataValidation allowBlank="1" showInputMessage="1" showErrorMessage="1" prompt="Escriba la información en la tabla Alojamiento, empezando por la celda de la derecha y en la tabla Entretenimiento, empezando por la celda G14. La instrucción siguiente se encuentra en la celda A27." sqref="A14"/>
    <dataValidation allowBlank="1" showInputMessage="1" showErrorMessage="1" prompt="La etiqueta Ingresos mensuales reales está en la celda de la derecha. Escriba el Ingreso 1 en la celda C10 y el Ingreso adicional en la C11 para calcular el total de ingresos mensuales en la celda C12. La instrucción siguiente está en la celda A14." sqref="A9"/>
    <dataValidation allowBlank="1" showInputMessage="1" showErrorMessage="1" prompt="El saldo previsto se calcula automáticamente en la celda H4; el saldo real, en la H6; y la diferencia, en la celda H8. La instrucción siguiente se encuentra en la celda A9." sqref="A7"/>
    <dataValidation allowBlank="1" showInputMessage="1" showErrorMessage="1" prompt="La etiqueta Ingresos mensuales previstos está en la celda de la derecha. Escriba el Ingreso 1 en la celda C5 y el Ingreso adicional en la C6 para calcular el total de ingresos mensuales en la celda C7. La instrucción siguiente se encuentra en la celda A7." sqref="A4"/>
    <dataValidation allowBlank="1" showInputMessage="1" showErrorMessage="1" prompt="El título de esta hoja de cálculo está en la celda C2. La instrucción siguiente se encuentra en la celda A4." sqref="A2"/>
    <dataValidation allowBlank="1" showInputMessage="1" showErrorMessage="1" prompt="Cree un presupuesto mensual personal en esta hoja de cálculo. Encontrará instrucciones útiles sobre cómo usar este libro en las celdas de esta columna. Use la flecha hacia abajo para empezar." sqref="A1"/>
  </dataValidations>
  <pageMargins left="0.7" right="0.7" top="0.75" bottom="0.75" header="0.3" footer="0.3"/>
  <pageSetup paperSize="9" orientation="portrait" r:id="rId1"/>
  <drawing r:id="rId2"/>
  <tableParts count="12">
    <tablePart r:id="rId3"/>
    <tablePart r:id="rId4"/>
    <tablePart r:id="rId5"/>
    <tablePart r:id="rId6"/>
    <tablePart r:id="rId7"/>
    <tablePart r:id="rId8"/>
    <tablePart r:id="rId9"/>
    <tablePart r:id="rId10"/>
    <tablePart r:id="rId11"/>
    <tablePart r:id="rId12"/>
    <tablePart r:id="rId13"/>
    <tablePart r:id="rId1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O67"/>
  <sheetViews>
    <sheetView zoomScale="70" zoomScaleNormal="70" workbookViewId="0">
      <selection activeCell="G70" sqref="G70"/>
    </sheetView>
  </sheetViews>
  <sheetFormatPr baseColWidth="10" defaultColWidth="9" defaultRowHeight="12.75"/>
  <cols>
    <col min="1" max="1" width="2.625" style="4" customWidth="1"/>
    <col min="2" max="2" width="34.875" customWidth="1"/>
    <col min="3" max="3" width="20.875" customWidth="1"/>
    <col min="4" max="4" width="17.625" customWidth="1"/>
    <col min="5" max="5" width="16" customWidth="1"/>
    <col min="6" max="6" width="2.625" customWidth="1"/>
    <col min="7" max="7" width="34.875" customWidth="1"/>
    <col min="8" max="8" width="19.625" customWidth="1"/>
    <col min="9" max="9" width="16.25" customWidth="1"/>
    <col min="10" max="10" width="17.625" customWidth="1"/>
    <col min="11" max="11" width="2.625" customWidth="1"/>
  </cols>
  <sheetData>
    <row r="1" spans="1:15" s="1" customFormat="1" ht="14.25">
      <c r="A1" s="3" t="s">
        <v>2</v>
      </c>
    </row>
    <row r="2" spans="1:15" s="1" customFormat="1" ht="71.25" customHeight="1">
      <c r="A2" s="10" t="s">
        <v>3</v>
      </c>
      <c r="B2" s="12"/>
      <c r="C2" s="13"/>
      <c r="D2" s="14"/>
      <c r="E2" s="14"/>
      <c r="F2" s="14"/>
      <c r="G2" s="14"/>
      <c r="H2" s="14"/>
      <c r="I2" s="15"/>
      <c r="J2" s="15"/>
      <c r="K2" s="12"/>
    </row>
    <row r="3" spans="1:15">
      <c r="B3" s="16"/>
      <c r="C3" s="16"/>
      <c r="D3" s="16"/>
      <c r="E3" s="16"/>
      <c r="F3" s="16"/>
      <c r="G3" s="16"/>
      <c r="H3" s="16"/>
      <c r="I3" s="16"/>
      <c r="J3" s="16"/>
      <c r="K3" s="16"/>
    </row>
    <row r="4" spans="1:15" ht="24.95" customHeight="1">
      <c r="A4" s="4" t="s">
        <v>4</v>
      </c>
      <c r="B4" s="37" t="s">
        <v>67</v>
      </c>
      <c r="C4" s="39"/>
      <c r="D4" s="6"/>
      <c r="E4" s="35" t="s">
        <v>92</v>
      </c>
      <c r="F4" s="35"/>
      <c r="G4" s="35"/>
      <c r="H4" s="36">
        <f>C7-J61</f>
        <v>0</v>
      </c>
    </row>
    <row r="5" spans="1:15" ht="24.95" customHeight="1">
      <c r="B5" s="17" t="s">
        <v>14</v>
      </c>
      <c r="C5" s="18">
        <v>0</v>
      </c>
      <c r="E5" s="35"/>
      <c r="F5" s="35"/>
      <c r="G5" s="35"/>
      <c r="H5" s="36"/>
      <c r="I5" s="7"/>
    </row>
    <row r="6" spans="1:15" ht="24.95" customHeight="1">
      <c r="B6" s="17" t="s">
        <v>69</v>
      </c>
      <c r="C6" s="18">
        <v>0</v>
      </c>
      <c r="E6" s="35" t="s">
        <v>93</v>
      </c>
      <c r="F6" s="35"/>
      <c r="G6" s="35"/>
      <c r="H6" s="36">
        <f>C12-J63</f>
        <v>0</v>
      </c>
      <c r="I6" s="7"/>
    </row>
    <row r="7" spans="1:15" ht="24.95" customHeight="1">
      <c r="A7" s="4" t="s">
        <v>5</v>
      </c>
      <c r="B7" s="17" t="s">
        <v>70</v>
      </c>
      <c r="C7" s="20">
        <f>SUM(C5:C6)</f>
        <v>0</v>
      </c>
      <c r="E7" s="35"/>
      <c r="F7" s="35"/>
      <c r="G7" s="35"/>
      <c r="H7" s="36"/>
      <c r="I7" s="7"/>
    </row>
    <row r="8" spans="1:15" ht="24.95" customHeight="1">
      <c r="B8" s="2"/>
      <c r="C8" s="2"/>
      <c r="D8" s="2"/>
      <c r="E8" s="35" t="s">
        <v>94</v>
      </c>
      <c r="F8" s="35"/>
      <c r="G8" s="35"/>
      <c r="H8" s="36">
        <f>H6-H4</f>
        <v>0</v>
      </c>
      <c r="I8" s="7"/>
    </row>
    <row r="9" spans="1:15" ht="24.95" customHeight="1">
      <c r="A9" s="4" t="s">
        <v>6</v>
      </c>
      <c r="B9" s="37" t="s">
        <v>68</v>
      </c>
      <c r="C9" s="38"/>
      <c r="D9" s="6"/>
      <c r="E9" s="35"/>
      <c r="F9" s="35"/>
      <c r="G9" s="35"/>
      <c r="H9" s="36"/>
      <c r="I9" s="8"/>
    </row>
    <row r="10" spans="1:15" ht="24.95" customHeight="1">
      <c r="B10" s="17" t="s">
        <v>99</v>
      </c>
      <c r="C10" s="18">
        <v>0</v>
      </c>
      <c r="I10" s="7"/>
    </row>
    <row r="11" spans="1:15" ht="24.95" customHeight="1">
      <c r="B11" s="17" t="s">
        <v>69</v>
      </c>
      <c r="C11" s="18">
        <v>0</v>
      </c>
      <c r="E11" s="7"/>
      <c r="H11" s="11"/>
      <c r="I11" s="11"/>
    </row>
    <row r="12" spans="1:15" ht="24.95" customHeight="1">
      <c r="B12" s="19" t="s">
        <v>70</v>
      </c>
      <c r="C12" s="20">
        <f>SUM(C10:C11)</f>
        <v>0</v>
      </c>
    </row>
    <row r="14" spans="1:15" ht="24.95" customHeight="1">
      <c r="A14" s="4" t="s">
        <v>7</v>
      </c>
      <c r="B14" s="21" t="s">
        <v>74</v>
      </c>
      <c r="C14" s="21" t="s">
        <v>76</v>
      </c>
      <c r="D14" s="21" t="s">
        <v>75</v>
      </c>
      <c r="E14" s="21" t="s">
        <v>77</v>
      </c>
      <c r="F14" s="9"/>
      <c r="G14" s="21" t="s">
        <v>44</v>
      </c>
      <c r="H14" s="21" t="s">
        <v>76</v>
      </c>
      <c r="I14" s="21" t="s">
        <v>75</v>
      </c>
      <c r="J14" s="21" t="s">
        <v>77</v>
      </c>
      <c r="O14" s="22"/>
    </row>
    <row r="15" spans="1:15" ht="25.5" customHeight="1">
      <c r="B15" s="23" t="s">
        <v>78</v>
      </c>
      <c r="C15" s="24">
        <v>0</v>
      </c>
      <c r="D15" s="24">
        <v>0</v>
      </c>
      <c r="E15" s="24">
        <f>Alojamiento143850627486[[#This Row],[COSTO PREVISTO]]-Alojamiento143850627486[[#This Row],[COSTO REAL]]</f>
        <v>0</v>
      </c>
      <c r="F15" s="9"/>
      <c r="G15" s="23" t="s">
        <v>45</v>
      </c>
      <c r="H15" s="24">
        <v>0</v>
      </c>
      <c r="I15" s="24">
        <v>0</v>
      </c>
      <c r="J15" s="24">
        <f>Entretenimiento153951637587[[#This Row],[COSTO PREVISTO]]-Entretenimiento153951637587[[#This Row],[COSTO REAL]]</f>
        <v>0</v>
      </c>
    </row>
    <row r="16" spans="1:15" ht="24.95" customHeight="1">
      <c r="B16" s="23" t="s">
        <v>61</v>
      </c>
      <c r="C16" s="24">
        <v>0</v>
      </c>
      <c r="D16" s="24">
        <v>0</v>
      </c>
      <c r="E16" s="24">
        <f>Alojamiento143850627486[[#This Row],[COSTO PREVISTO]]-Alojamiento143850627486[[#This Row],[COSTO REAL]]</f>
        <v>0</v>
      </c>
      <c r="F16" s="9"/>
      <c r="G16" s="23" t="s">
        <v>46</v>
      </c>
      <c r="H16" s="24">
        <v>0</v>
      </c>
      <c r="I16" s="24">
        <v>0</v>
      </c>
      <c r="J16" s="24">
        <f>Entretenimiento153951637587[[#This Row],[COSTO PREVISTO]]-Entretenimiento153951637587[[#This Row],[COSTO REAL]]</f>
        <v>0</v>
      </c>
    </row>
    <row r="17" spans="1:10" ht="24.95" customHeight="1">
      <c r="B17" s="23" t="s">
        <v>15</v>
      </c>
      <c r="C17" s="24">
        <v>0</v>
      </c>
      <c r="D17" s="24">
        <v>0</v>
      </c>
      <c r="E17" s="24">
        <f>Alojamiento143850627486[[#This Row],[COSTO PREVISTO]]-Alojamiento143850627486[[#This Row],[COSTO REAL]]</f>
        <v>0</v>
      </c>
      <c r="F17" s="9"/>
      <c r="G17" s="23" t="s">
        <v>47</v>
      </c>
      <c r="H17" s="24">
        <v>0</v>
      </c>
      <c r="I17" s="24">
        <v>0</v>
      </c>
      <c r="J17" s="24">
        <f>Entretenimiento153951637587[[#This Row],[COSTO PREVISTO]]-Entretenimiento153951637587[[#This Row],[COSTO REAL]]</f>
        <v>0</v>
      </c>
    </row>
    <row r="18" spans="1:10" ht="24.95" customHeight="1">
      <c r="B18" s="23" t="s">
        <v>16</v>
      </c>
      <c r="C18" s="24">
        <v>0</v>
      </c>
      <c r="D18" s="24">
        <v>0</v>
      </c>
      <c r="E18" s="24">
        <f>Alojamiento143850627486[[#This Row],[COSTO PREVISTO]]-Alojamiento143850627486[[#This Row],[COSTO REAL]]</f>
        <v>0</v>
      </c>
      <c r="F18" s="9"/>
      <c r="G18" s="23" t="s">
        <v>48</v>
      </c>
      <c r="H18" s="24">
        <v>0</v>
      </c>
      <c r="I18" s="24">
        <v>0</v>
      </c>
      <c r="J18" s="24">
        <f>Entretenimiento153951637587[[#This Row],[COSTO PREVISTO]]-Entretenimiento153951637587[[#This Row],[COSTO REAL]]</f>
        <v>0</v>
      </c>
    </row>
    <row r="19" spans="1:10" ht="24.95" customHeight="1">
      <c r="B19" s="23" t="s">
        <v>71</v>
      </c>
      <c r="C19" s="24">
        <v>0</v>
      </c>
      <c r="D19" s="24">
        <v>0</v>
      </c>
      <c r="E19" s="24">
        <f>Alojamiento143850627486[[#This Row],[COSTO PREVISTO]]-Alojamiento143850627486[[#This Row],[COSTO REAL]]</f>
        <v>0</v>
      </c>
      <c r="F19" s="9"/>
      <c r="G19" s="23" t="s">
        <v>82</v>
      </c>
      <c r="H19" s="24">
        <v>0</v>
      </c>
      <c r="I19" s="24">
        <v>0</v>
      </c>
      <c r="J19" s="24">
        <f>Entretenimiento153951637587[[#This Row],[COSTO PREVISTO]]-Entretenimiento153951637587[[#This Row],[COSTO REAL]]</f>
        <v>0</v>
      </c>
    </row>
    <row r="20" spans="1:10" ht="24.95" customHeight="1">
      <c r="B20" s="23" t="s">
        <v>72</v>
      </c>
      <c r="C20" s="24">
        <v>0</v>
      </c>
      <c r="D20" s="24">
        <v>0</v>
      </c>
      <c r="E20" s="24">
        <f>Alojamiento143850627486[[#This Row],[COSTO PREVISTO]]-Alojamiento143850627486[[#This Row],[COSTO REAL]]</f>
        <v>0</v>
      </c>
      <c r="F20" s="9"/>
      <c r="G20" s="23" t="s">
        <v>49</v>
      </c>
      <c r="H20" s="24">
        <v>0</v>
      </c>
      <c r="I20" s="24">
        <v>0</v>
      </c>
      <c r="J20" s="24">
        <f>Entretenimiento153951637587[[#This Row],[COSTO PREVISTO]]-Entretenimiento153951637587[[#This Row],[COSTO REAL]]</f>
        <v>0</v>
      </c>
    </row>
    <row r="21" spans="1:10" ht="24.95" customHeight="1">
      <c r="B21" s="23" t="s">
        <v>81</v>
      </c>
      <c r="C21" s="24">
        <v>0</v>
      </c>
      <c r="D21" s="24">
        <v>0</v>
      </c>
      <c r="E21" s="24">
        <f>Alojamiento143850627486[[#This Row],[COSTO PREVISTO]]-Alojamiento143850627486[[#This Row],[COSTO REAL]]</f>
        <v>0</v>
      </c>
      <c r="F21" s="9"/>
      <c r="G21" s="23" t="s">
        <v>18</v>
      </c>
      <c r="H21" s="24">
        <v>0</v>
      </c>
      <c r="I21" s="24">
        <v>0</v>
      </c>
      <c r="J21" s="24">
        <f>Entretenimiento153951637587[[#This Row],[COSTO PREVISTO]]-Entretenimiento153951637587[[#This Row],[COSTO REAL]]</f>
        <v>0</v>
      </c>
    </row>
    <row r="22" spans="1:10" ht="24.95" customHeight="1">
      <c r="B22" s="23" t="s">
        <v>73</v>
      </c>
      <c r="C22" s="24">
        <v>0</v>
      </c>
      <c r="D22" s="24">
        <v>0</v>
      </c>
      <c r="E22" s="24">
        <f>Alojamiento143850627486[[#This Row],[COSTO PREVISTO]]-Alojamiento143850627486[[#This Row],[COSTO REAL]]</f>
        <v>0</v>
      </c>
      <c r="F22" s="9"/>
      <c r="G22" s="23" t="s">
        <v>18</v>
      </c>
      <c r="H22" s="24">
        <v>0</v>
      </c>
      <c r="I22" s="24">
        <v>0</v>
      </c>
      <c r="J22" s="24">
        <f>Entretenimiento153951637587[[#This Row],[COSTO PREVISTO]]-Entretenimiento153951637587[[#This Row],[COSTO REAL]]</f>
        <v>0</v>
      </c>
    </row>
    <row r="23" spans="1:10" ht="24.95" customHeight="1">
      <c r="B23" s="23" t="s">
        <v>17</v>
      </c>
      <c r="C23" s="24">
        <v>0</v>
      </c>
      <c r="D23" s="24">
        <v>0</v>
      </c>
      <c r="E23" s="24">
        <f>Alojamiento143850627486[[#This Row],[COSTO PREVISTO]]-Alojamiento143850627486[[#This Row],[COSTO REAL]]</f>
        <v>0</v>
      </c>
      <c r="F23" s="9"/>
      <c r="G23" s="23" t="s">
        <v>18</v>
      </c>
      <c r="H23" s="24">
        <v>0</v>
      </c>
      <c r="I23" s="24">
        <v>0</v>
      </c>
      <c r="J23" s="24">
        <f>Entretenimiento153951637587[[#This Row],[COSTO PREVISTO]]-Entretenimiento153951637587[[#This Row],[COSTO REAL]]</f>
        <v>0</v>
      </c>
    </row>
    <row r="24" spans="1:10" ht="24.95" customHeight="1">
      <c r="B24" s="23" t="s">
        <v>18</v>
      </c>
      <c r="C24" s="24">
        <v>0</v>
      </c>
      <c r="D24" s="24">
        <v>0</v>
      </c>
      <c r="E24" s="24">
        <f>Alojamiento143850627486[[#This Row],[COSTO PREVISTO]]-Alojamiento143850627486[[#This Row],[COSTO REAL]]</f>
        <v>0</v>
      </c>
      <c r="F24" s="9"/>
      <c r="G24" s="25" t="s">
        <v>19</v>
      </c>
      <c r="H24" s="27" t="s">
        <v>66</v>
      </c>
      <c r="I24" s="27" t="s">
        <v>66</v>
      </c>
      <c r="J24" s="26">
        <f>SUBTOTAL(109,Entretenimiento153951637587[DIFERENCIA])</f>
        <v>0</v>
      </c>
    </row>
    <row r="25" spans="1:10" ht="24.95" customHeight="1">
      <c r="B25" s="25" t="s">
        <v>19</v>
      </c>
      <c r="C25" s="26">
        <f>SUBTOTAL(109,Alojamiento143850627486[COSTO PREVISTO])</f>
        <v>0</v>
      </c>
      <c r="D25" s="26">
        <f>SUBTOTAL(109,Alojamiento143850627486[COSTO REAL])</f>
        <v>0</v>
      </c>
      <c r="E25" s="26">
        <f>SUBTOTAL(109,Alojamiento143850627486[DIFERENCIA])</f>
        <v>0</v>
      </c>
      <c r="F25" s="9"/>
      <c r="G25" s="41"/>
      <c r="H25" s="41"/>
      <c r="I25" s="41"/>
      <c r="J25" s="41"/>
    </row>
    <row r="26" spans="1:10" ht="24.95" customHeight="1">
      <c r="B26" s="41"/>
      <c r="C26" s="41"/>
      <c r="D26" s="41"/>
      <c r="E26" s="41"/>
      <c r="F26" s="9"/>
      <c r="G26" s="21" t="s">
        <v>50</v>
      </c>
      <c r="H26" s="21" t="s">
        <v>76</v>
      </c>
      <c r="I26" s="21" t="s">
        <v>75</v>
      </c>
      <c r="J26" s="21" t="s">
        <v>77</v>
      </c>
    </row>
    <row r="27" spans="1:10" ht="24.95" customHeight="1">
      <c r="A27" s="4" t="s">
        <v>8</v>
      </c>
      <c r="B27" s="21" t="s">
        <v>20</v>
      </c>
      <c r="C27" s="21" t="s">
        <v>40</v>
      </c>
      <c r="D27" s="21" t="s">
        <v>41</v>
      </c>
      <c r="E27" s="21" t="s">
        <v>43</v>
      </c>
      <c r="F27" s="9"/>
      <c r="G27" s="23" t="s">
        <v>51</v>
      </c>
      <c r="H27" s="24">
        <v>0</v>
      </c>
      <c r="I27" s="24">
        <v>0</v>
      </c>
      <c r="J27" s="24">
        <f>Prestamos164052647688[[#This Row],[COSTO PREVISTO]]-Prestamos164052647688[[#This Row],[COSTO REAL]]</f>
        <v>0</v>
      </c>
    </row>
    <row r="28" spans="1:10" ht="24.95" customHeight="1">
      <c r="B28" s="23" t="s">
        <v>62</v>
      </c>
      <c r="C28" s="24">
        <v>0</v>
      </c>
      <c r="D28" s="24">
        <v>0</v>
      </c>
      <c r="E28" s="24">
        <f>Transporte174153657789[[#This Row],[Costo previsto]]-Transporte174153657789[[#This Row],[Costo real]]</f>
        <v>0</v>
      </c>
      <c r="F28" s="9"/>
      <c r="G28" s="23" t="s">
        <v>52</v>
      </c>
      <c r="H28" s="24">
        <v>0</v>
      </c>
      <c r="I28" s="24">
        <v>0</v>
      </c>
      <c r="J28" s="24">
        <f>Prestamos164052647688[[#This Row],[COSTO PREVISTO]]-Prestamos164052647688[[#This Row],[COSTO REAL]]</f>
        <v>0</v>
      </c>
    </row>
    <row r="29" spans="1:10" ht="24.95" customHeight="1">
      <c r="B29" s="23" t="s">
        <v>83</v>
      </c>
      <c r="C29" s="24">
        <v>0</v>
      </c>
      <c r="D29" s="24">
        <v>0</v>
      </c>
      <c r="E29" s="24">
        <f>Transporte174153657789[[#This Row],[Costo previsto]]-Transporte174153657789[[#This Row],[Costo real]]</f>
        <v>0</v>
      </c>
      <c r="F29" s="9"/>
      <c r="G29" s="23" t="s">
        <v>53</v>
      </c>
      <c r="H29" s="24">
        <v>0</v>
      </c>
      <c r="I29" s="24">
        <v>0</v>
      </c>
      <c r="J29" s="24">
        <f>Prestamos164052647688[[#This Row],[COSTO PREVISTO]]-Prestamos164052647688[[#This Row],[COSTO REAL]]</f>
        <v>0</v>
      </c>
    </row>
    <row r="30" spans="1:10" ht="24.95" customHeight="1">
      <c r="B30" s="23" t="s">
        <v>21</v>
      </c>
      <c r="C30" s="24">
        <v>0</v>
      </c>
      <c r="D30" s="24">
        <v>0</v>
      </c>
      <c r="E30" s="24">
        <f>Transporte174153657789[[#This Row],[Costo previsto]]-Transporte174153657789[[#This Row],[Costo real]]</f>
        <v>0</v>
      </c>
      <c r="F30" s="9"/>
      <c r="G30" s="23" t="s">
        <v>53</v>
      </c>
      <c r="H30" s="24">
        <v>0</v>
      </c>
      <c r="I30" s="24">
        <v>0</v>
      </c>
      <c r="J30" s="24">
        <f>Prestamos164052647688[[#This Row],[COSTO PREVISTO]]-Prestamos164052647688[[#This Row],[COSTO REAL]]</f>
        <v>0</v>
      </c>
    </row>
    <row r="31" spans="1:10" ht="24.95" customHeight="1">
      <c r="B31" s="23" t="s">
        <v>22</v>
      </c>
      <c r="C31" s="24">
        <v>0</v>
      </c>
      <c r="D31" s="24">
        <v>0</v>
      </c>
      <c r="E31" s="24">
        <f>Transporte174153657789[[#This Row],[Costo previsto]]-Transporte174153657789[[#This Row],[Costo real]]</f>
        <v>0</v>
      </c>
      <c r="F31" s="9"/>
      <c r="G31" s="23" t="s">
        <v>53</v>
      </c>
      <c r="H31" s="24">
        <v>0</v>
      </c>
      <c r="I31" s="24">
        <v>0</v>
      </c>
      <c r="J31" s="24">
        <f>Prestamos164052647688[[#This Row],[COSTO PREVISTO]]-Prestamos164052647688[[#This Row],[COSTO REAL]]</f>
        <v>0</v>
      </c>
    </row>
    <row r="32" spans="1:10" ht="24.95" customHeight="1">
      <c r="B32" s="23" t="s">
        <v>23</v>
      </c>
      <c r="C32" s="24">
        <v>0</v>
      </c>
      <c r="D32" s="24">
        <v>0</v>
      </c>
      <c r="E32" s="24">
        <f>Transporte174153657789[[#This Row],[Costo previsto]]-Transporte174153657789[[#This Row],[Costo real]]</f>
        <v>0</v>
      </c>
      <c r="F32" s="9"/>
      <c r="G32" s="23" t="s">
        <v>18</v>
      </c>
      <c r="H32" s="24">
        <v>0</v>
      </c>
      <c r="I32" s="24">
        <v>0</v>
      </c>
      <c r="J32" s="24">
        <f>Prestamos164052647688[[#This Row],[COSTO PREVISTO]]-Prestamos164052647688[[#This Row],[COSTO REAL]]</f>
        <v>0</v>
      </c>
    </row>
    <row r="33" spans="1:10" ht="24.95" customHeight="1">
      <c r="B33" s="23" t="s">
        <v>24</v>
      </c>
      <c r="C33" s="24">
        <v>0</v>
      </c>
      <c r="D33" s="24">
        <v>0</v>
      </c>
      <c r="E33" s="24">
        <f>Transporte174153657789[[#This Row],[Costo previsto]]-Transporte174153657789[[#This Row],[Costo real]]</f>
        <v>0</v>
      </c>
      <c r="F33" s="9"/>
      <c r="G33" s="25" t="s">
        <v>19</v>
      </c>
      <c r="H33" s="27" t="s">
        <v>66</v>
      </c>
      <c r="I33" s="27" t="s">
        <v>66</v>
      </c>
      <c r="J33" s="26">
        <f>SUBTOTAL(109,Prestamos164052647688[DIFERENCIA])</f>
        <v>0</v>
      </c>
    </row>
    <row r="34" spans="1:10" ht="24.95" customHeight="1">
      <c r="B34" s="23" t="s">
        <v>64</v>
      </c>
      <c r="C34" s="24">
        <v>0</v>
      </c>
      <c r="D34" s="24">
        <v>0</v>
      </c>
      <c r="E34" s="24">
        <f>Transporte174153657789[[#This Row],[Costo previsto]]-Transporte174153657789[[#This Row],[Costo real]]</f>
        <v>0</v>
      </c>
      <c r="F34" s="9"/>
      <c r="G34" s="41"/>
      <c r="H34" s="41"/>
      <c r="I34" s="41"/>
      <c r="J34" s="41"/>
    </row>
    <row r="35" spans="1:10" ht="24.95" customHeight="1">
      <c r="B35" s="25" t="s">
        <v>19</v>
      </c>
      <c r="C35" s="26">
        <f>SUBTOTAL(109,Transporte174153657789[Costo previsto])</f>
        <v>0</v>
      </c>
      <c r="D35" s="26">
        <f>SUBTOTAL(109,Transporte174153657789[Costo real])</f>
        <v>0</v>
      </c>
      <c r="E35" s="26">
        <f>SUBTOTAL(109,Transporte174153657789[Diferencia])</f>
        <v>0</v>
      </c>
      <c r="F35" s="9"/>
      <c r="G35" s="21" t="s">
        <v>54</v>
      </c>
      <c r="H35" s="21" t="s">
        <v>76</v>
      </c>
      <c r="I35" s="21" t="s">
        <v>75</v>
      </c>
      <c r="J35" s="21" t="s">
        <v>77</v>
      </c>
    </row>
    <row r="36" spans="1:10" ht="24.95" customHeight="1">
      <c r="B36" s="41"/>
      <c r="C36" s="41"/>
      <c r="D36" s="41"/>
      <c r="E36" s="41"/>
      <c r="F36" s="9"/>
      <c r="G36" s="23" t="s">
        <v>55</v>
      </c>
      <c r="H36" s="24">
        <v>0</v>
      </c>
      <c r="I36" s="24">
        <v>0</v>
      </c>
      <c r="J36" s="24">
        <f>Impuestos194355677991[[#This Row],[COSTO PREVISTO]]-Impuestos194355677991[[#This Row],[COSTO REAL]]</f>
        <v>0</v>
      </c>
    </row>
    <row r="37" spans="1:10" ht="24.95" customHeight="1">
      <c r="A37" s="4" t="s">
        <v>9</v>
      </c>
      <c r="B37" s="21" t="s">
        <v>25</v>
      </c>
      <c r="C37" s="21" t="s">
        <v>76</v>
      </c>
      <c r="D37" s="21" t="s">
        <v>75</v>
      </c>
      <c r="E37" s="21" t="s">
        <v>77</v>
      </c>
      <c r="F37" s="9"/>
      <c r="G37" s="23" t="s">
        <v>56</v>
      </c>
      <c r="H37" s="24">
        <v>0</v>
      </c>
      <c r="I37" s="24">
        <v>0</v>
      </c>
      <c r="J37" s="24">
        <f>Impuestos194355677991[[#This Row],[COSTO PREVISTO]]-Impuestos194355677991[[#This Row],[COSTO REAL]]</f>
        <v>0</v>
      </c>
    </row>
    <row r="38" spans="1:10" ht="24.95" customHeight="1">
      <c r="B38" s="23" t="s">
        <v>26</v>
      </c>
      <c r="C38" s="24">
        <v>0</v>
      </c>
      <c r="D38" s="24">
        <v>0</v>
      </c>
      <c r="E38" s="24">
        <f>Seguro184254667890[[#This Row],[COSTO PREVISTO]]-Seguro184254667890[[#This Row],[COSTO REAL]]</f>
        <v>0</v>
      </c>
      <c r="F38" s="9"/>
      <c r="G38" s="23" t="s">
        <v>57</v>
      </c>
      <c r="H38" s="24">
        <v>0</v>
      </c>
      <c r="I38" s="24">
        <v>0</v>
      </c>
      <c r="J38" s="24">
        <f>Impuestos194355677991[[#This Row],[COSTO PREVISTO]]-Impuestos194355677991[[#This Row],[COSTO REAL]]</f>
        <v>0</v>
      </c>
    </row>
    <row r="39" spans="1:10" ht="24.95" customHeight="1">
      <c r="B39" s="23" t="s">
        <v>98</v>
      </c>
      <c r="C39" s="24">
        <v>0</v>
      </c>
      <c r="D39" s="24">
        <v>0</v>
      </c>
      <c r="E39" s="24">
        <f>Seguro184254667890[[#This Row],[COSTO PREVISTO]]-Seguro184254667890[[#This Row],[COSTO REAL]]</f>
        <v>0</v>
      </c>
      <c r="F39" s="9"/>
      <c r="G39" s="23" t="s">
        <v>18</v>
      </c>
      <c r="H39" s="24">
        <v>0</v>
      </c>
      <c r="I39" s="24">
        <v>0</v>
      </c>
      <c r="J39" s="24">
        <f>Impuestos194355677991[[#This Row],[COSTO PREVISTO]]-Impuestos194355677991[[#This Row],[COSTO REAL]]</f>
        <v>0</v>
      </c>
    </row>
    <row r="40" spans="1:10" ht="24.95" customHeight="1">
      <c r="B40" s="23" t="s">
        <v>27</v>
      </c>
      <c r="C40" s="24">
        <v>0</v>
      </c>
      <c r="D40" s="24">
        <v>0</v>
      </c>
      <c r="E40" s="24">
        <f>Seguro184254667890[[#This Row],[COSTO PREVISTO]]-Seguro184254667890[[#This Row],[COSTO REAL]]</f>
        <v>0</v>
      </c>
      <c r="F40" s="9"/>
      <c r="G40" s="25" t="s">
        <v>19</v>
      </c>
      <c r="H40" s="27" t="s">
        <v>66</v>
      </c>
      <c r="I40" s="27" t="s">
        <v>66</v>
      </c>
      <c r="J40" s="26">
        <f>SUBTOTAL(109,Impuestos194355677991[DIFERENCIA])</f>
        <v>0</v>
      </c>
    </row>
    <row r="41" spans="1:10" ht="24.95" customHeight="1">
      <c r="B41" s="23" t="s">
        <v>18</v>
      </c>
      <c r="C41" s="24">
        <v>0</v>
      </c>
      <c r="D41" s="24">
        <v>0</v>
      </c>
      <c r="E41" s="24">
        <f>Seguro184254667890[[#This Row],[COSTO PREVISTO]]-Seguro184254667890[[#This Row],[COSTO REAL]]</f>
        <v>0</v>
      </c>
      <c r="F41" s="9"/>
      <c r="G41" s="41"/>
      <c r="H41" s="41"/>
      <c r="I41" s="41"/>
      <c r="J41" s="41"/>
    </row>
    <row r="42" spans="1:10" ht="24.95" customHeight="1">
      <c r="B42" s="25" t="s">
        <v>19</v>
      </c>
      <c r="C42" s="26">
        <f>SUBTOTAL(109,Seguro184254667890[COSTO PREVISTO])</f>
        <v>0</v>
      </c>
      <c r="D42" s="26">
        <f>SUBTOTAL(109,Seguro184254667890[COSTO REAL])</f>
        <v>0</v>
      </c>
      <c r="E42" s="26">
        <f>SUBTOTAL(109,Seguro184254667890[DIFERENCIA])</f>
        <v>0</v>
      </c>
      <c r="F42" s="9"/>
      <c r="G42" s="21" t="s">
        <v>58</v>
      </c>
      <c r="H42" s="21" t="s">
        <v>76</v>
      </c>
      <c r="I42" s="21" t="s">
        <v>75</v>
      </c>
      <c r="J42" s="21" t="s">
        <v>77</v>
      </c>
    </row>
    <row r="43" spans="1:10" ht="24.95" customHeight="1">
      <c r="B43" s="41"/>
      <c r="C43" s="41"/>
      <c r="D43" s="41"/>
      <c r="E43" s="41"/>
      <c r="F43" s="9"/>
      <c r="G43" s="23" t="s">
        <v>96</v>
      </c>
      <c r="H43" s="24">
        <v>0</v>
      </c>
      <c r="I43" s="24">
        <v>0</v>
      </c>
      <c r="J43" s="24">
        <f>Ahorros204456688092[[#This Row],[COSTO PREVISTO]]-Ahorros204456688092[[#This Row],[COSTO REAL]]</f>
        <v>0</v>
      </c>
    </row>
    <row r="44" spans="1:10" ht="24.95" customHeight="1">
      <c r="A44" s="4" t="s">
        <v>10</v>
      </c>
      <c r="B44" s="21" t="s">
        <v>28</v>
      </c>
      <c r="C44" s="21" t="s">
        <v>76</v>
      </c>
      <c r="D44" s="21" t="s">
        <v>75</v>
      </c>
      <c r="E44" s="21" t="s">
        <v>77</v>
      </c>
      <c r="F44" s="9"/>
      <c r="G44" s="23" t="s">
        <v>97</v>
      </c>
      <c r="H44" s="24">
        <v>0</v>
      </c>
      <c r="I44" s="24">
        <v>0</v>
      </c>
      <c r="J44" s="24">
        <f>Ahorros204456688092[[#This Row],[COSTO PREVISTO]]-Ahorros204456688092[[#This Row],[COSTO REAL]]</f>
        <v>0</v>
      </c>
    </row>
    <row r="45" spans="1:10" ht="24.95" customHeight="1">
      <c r="B45" s="23" t="s">
        <v>29</v>
      </c>
      <c r="C45" s="24">
        <v>0</v>
      </c>
      <c r="D45" s="24">
        <v>0</v>
      </c>
      <c r="E45" s="24">
        <f>Comida214557698193[[#This Row],[COSTO PREVISTO]]-Comida214557698193[[#This Row],[COSTO REAL]]</f>
        <v>0</v>
      </c>
      <c r="F45" s="9"/>
      <c r="G45" s="23" t="s">
        <v>18</v>
      </c>
      <c r="H45" s="24">
        <v>0</v>
      </c>
      <c r="I45" s="24">
        <v>0</v>
      </c>
      <c r="J45" s="24">
        <f>Ahorros204456688092[[#This Row],[COSTO PREVISTO]]-Ahorros204456688092[[#This Row],[COSTO REAL]]</f>
        <v>0</v>
      </c>
    </row>
    <row r="46" spans="1:10" ht="24.95" customHeight="1">
      <c r="B46" s="23" t="s">
        <v>30</v>
      </c>
      <c r="C46" s="24">
        <v>0</v>
      </c>
      <c r="D46" s="24">
        <v>0</v>
      </c>
      <c r="E46" s="24">
        <f>Comida214557698193[[#This Row],[COSTO PREVISTO]]-Comida214557698193[[#This Row],[COSTO REAL]]</f>
        <v>0</v>
      </c>
      <c r="F46" s="9"/>
      <c r="G46" s="25" t="s">
        <v>19</v>
      </c>
      <c r="H46" s="27" t="s">
        <v>66</v>
      </c>
      <c r="I46" s="27" t="s">
        <v>66</v>
      </c>
      <c r="J46" s="26">
        <f>SUBTOTAL(109,Ahorros204456688092[DIFERENCIA])</f>
        <v>0</v>
      </c>
    </row>
    <row r="47" spans="1:10" ht="24.95" customHeight="1">
      <c r="B47" s="23" t="s">
        <v>65</v>
      </c>
      <c r="C47" s="24">
        <v>0</v>
      </c>
      <c r="D47" s="24">
        <v>0</v>
      </c>
      <c r="E47" s="24">
        <f>Comida214557698193[[#This Row],[COSTO PREVISTO]]-Comida214557698193[[#This Row],[COSTO REAL]]</f>
        <v>0</v>
      </c>
      <c r="F47" s="9"/>
      <c r="G47" s="41"/>
      <c r="H47" s="41"/>
      <c r="I47" s="41"/>
      <c r="J47" s="41"/>
    </row>
    <row r="48" spans="1:10" ht="24.95" customHeight="1">
      <c r="B48" s="25" t="s">
        <v>19</v>
      </c>
      <c r="C48" s="26">
        <f>SUBTOTAL(109,Comida214557698193[COSTO PREVISTO])</f>
        <v>0</v>
      </c>
      <c r="D48" s="26">
        <f>SUBTOTAL(109,Comida214557698193[COSTO REAL])</f>
        <v>0</v>
      </c>
      <c r="E48" s="26">
        <f>SUBTOTAL(109,Comida214557698193[DIFERENCIA])</f>
        <v>0</v>
      </c>
      <c r="F48" s="9"/>
      <c r="G48" s="21" t="s">
        <v>79</v>
      </c>
      <c r="H48" s="21" t="s">
        <v>76</v>
      </c>
      <c r="I48" s="21" t="s">
        <v>80</v>
      </c>
      <c r="J48" s="21" t="s">
        <v>77</v>
      </c>
    </row>
    <row r="49" spans="1:10" ht="24.95" customHeight="1">
      <c r="B49" s="41"/>
      <c r="C49" s="41"/>
      <c r="D49" s="41"/>
      <c r="E49" s="41"/>
      <c r="F49" s="9"/>
      <c r="G49" s="23" t="s">
        <v>85</v>
      </c>
      <c r="H49" s="24">
        <v>0</v>
      </c>
      <c r="I49" s="24">
        <v>0</v>
      </c>
      <c r="J49" s="24">
        <f>Regalos224658708294[[#This Row],[COSTO PREVISTO]]-Regalos224658708294[[#This Row],[COSTO REAL ]]</f>
        <v>0</v>
      </c>
    </row>
    <row r="50" spans="1:10" ht="24.95" customHeight="1">
      <c r="A50" s="4" t="s">
        <v>11</v>
      </c>
      <c r="B50" s="21" t="s">
        <v>31</v>
      </c>
      <c r="C50" s="21" t="s">
        <v>76</v>
      </c>
      <c r="D50" s="21" t="s">
        <v>75</v>
      </c>
      <c r="E50" s="21" t="s">
        <v>77</v>
      </c>
      <c r="F50" s="9"/>
      <c r="G50" s="23" t="s">
        <v>84</v>
      </c>
      <c r="H50" s="24">
        <v>0</v>
      </c>
      <c r="I50" s="24">
        <v>0</v>
      </c>
      <c r="J50" s="24">
        <f>Regalos224658708294[[#This Row],[COSTO PREVISTO]]-Regalos224658708294[[#This Row],[COSTO REAL ]]</f>
        <v>0</v>
      </c>
    </row>
    <row r="51" spans="1:10" ht="24.95" customHeight="1">
      <c r="B51" s="23" t="s">
        <v>32</v>
      </c>
      <c r="C51" s="24">
        <v>0</v>
      </c>
      <c r="D51" s="24">
        <v>0</v>
      </c>
      <c r="E51" s="24">
        <f>Mascotas234759718395[[#This Row],[COSTO PREVISTO]]-Mascotas234759718395[[#This Row],[COSTO REAL]]</f>
        <v>0</v>
      </c>
      <c r="F51" s="9"/>
      <c r="G51" s="23" t="s">
        <v>63</v>
      </c>
      <c r="H51" s="24">
        <v>0</v>
      </c>
      <c r="I51" s="24">
        <v>0</v>
      </c>
      <c r="J51" s="24">
        <f>Regalos224658708294[[#This Row],[COSTO PREVISTO]]-Regalos224658708294[[#This Row],[COSTO REAL ]]</f>
        <v>0</v>
      </c>
    </row>
    <row r="52" spans="1:10" ht="24.95" customHeight="1">
      <c r="B52" s="23" t="s">
        <v>33</v>
      </c>
      <c r="C52" s="24">
        <v>0</v>
      </c>
      <c r="D52" s="24">
        <v>0</v>
      </c>
      <c r="E52" s="24">
        <f>Mascotas234759718395[[#This Row],[COSTO PREVISTO]]-Mascotas234759718395[[#This Row],[COSTO REAL]]</f>
        <v>0</v>
      </c>
      <c r="F52" s="9"/>
      <c r="G52" s="25" t="s">
        <v>19</v>
      </c>
      <c r="H52" s="27">
        <f>SUBTOTAL(109,Regalos224658708294[COSTO PREVISTO])</f>
        <v>0</v>
      </c>
      <c r="I52" s="27" t="s">
        <v>66</v>
      </c>
      <c r="J52" s="26">
        <f>SUBTOTAL(109,Regalos224658708294[DIFERENCIA])</f>
        <v>0</v>
      </c>
    </row>
    <row r="53" spans="1:10" ht="24.95" customHeight="1">
      <c r="B53" s="23" t="s">
        <v>34</v>
      </c>
      <c r="C53" s="24">
        <v>0</v>
      </c>
      <c r="D53" s="24">
        <v>0</v>
      </c>
      <c r="E53" s="24">
        <f>Mascotas234759718395[[#This Row],[COSTO PREVISTO]]-Mascotas234759718395[[#This Row],[COSTO REAL]]</f>
        <v>0</v>
      </c>
      <c r="F53" s="9"/>
      <c r="G53" s="41"/>
      <c r="H53" s="41"/>
      <c r="I53" s="41"/>
      <c r="J53" s="41"/>
    </row>
    <row r="54" spans="1:10" ht="24.95" customHeight="1">
      <c r="B54" s="23" t="s">
        <v>35</v>
      </c>
      <c r="C54" s="24">
        <v>0</v>
      </c>
      <c r="D54" s="24">
        <v>0</v>
      </c>
      <c r="E54" s="24">
        <f>Mascotas234759718395[[#This Row],[COSTO PREVISTO]]-Mascotas234759718395[[#This Row],[COSTO REAL]]</f>
        <v>0</v>
      </c>
      <c r="F54" s="9"/>
      <c r="G54" s="21" t="s">
        <v>59</v>
      </c>
      <c r="H54" s="21" t="s">
        <v>76</v>
      </c>
      <c r="I54" s="21" t="s">
        <v>75</v>
      </c>
      <c r="J54" s="21" t="s">
        <v>77</v>
      </c>
    </row>
    <row r="55" spans="1:10" ht="24.95" customHeight="1">
      <c r="B55" s="23" t="s">
        <v>18</v>
      </c>
      <c r="C55" s="24">
        <v>0</v>
      </c>
      <c r="D55" s="24">
        <v>0</v>
      </c>
      <c r="E55" s="24">
        <f>Mascotas234759718395[[#This Row],[COSTO PREVISTO]]-Mascotas234759718395[[#This Row],[COSTO REAL]]</f>
        <v>0</v>
      </c>
      <c r="F55" s="9"/>
      <c r="G55" s="23" t="s">
        <v>60</v>
      </c>
      <c r="H55" s="24">
        <v>0</v>
      </c>
      <c r="I55" s="24">
        <v>0</v>
      </c>
      <c r="J55" s="24">
        <f>Legal244860728496[[#This Row],[COSTO PREVISTO]]-Legal244860728496[[#This Row],[COSTO REAL]]</f>
        <v>0</v>
      </c>
    </row>
    <row r="56" spans="1:10" ht="24.95" customHeight="1">
      <c r="B56" s="25" t="s">
        <v>19</v>
      </c>
      <c r="C56" s="26">
        <f>SUBTOTAL(109,Mascotas234759718395[COSTO PREVISTO])</f>
        <v>0</v>
      </c>
      <c r="D56" s="26">
        <f>SUBTOTAL(109,Mascotas234759718395[COSTO REAL])</f>
        <v>0</v>
      </c>
      <c r="E56" s="26">
        <f>SUBTOTAL(109,Mascotas234759718395[DIFERENCIA])</f>
        <v>0</v>
      </c>
      <c r="F56" s="9"/>
      <c r="G56" s="23" t="s">
        <v>86</v>
      </c>
      <c r="H56" s="24">
        <v>0</v>
      </c>
      <c r="I56" s="24">
        <v>0</v>
      </c>
      <c r="J56" s="24">
        <f>Legal244860728496[[#This Row],[COSTO PREVISTO]]-Legal244860728496[[#This Row],[COSTO REAL]]</f>
        <v>0</v>
      </c>
    </row>
    <row r="57" spans="1:10" ht="24.95" customHeight="1">
      <c r="B57" s="41"/>
      <c r="C57" s="41"/>
      <c r="D57" s="41"/>
      <c r="E57" s="41"/>
      <c r="F57" s="9"/>
      <c r="G57" s="23" t="s">
        <v>87</v>
      </c>
      <c r="H57" s="24">
        <v>0</v>
      </c>
      <c r="I57" s="24">
        <v>0</v>
      </c>
      <c r="J57" s="24">
        <f>Legal244860728496[[#This Row],[COSTO PREVISTO]]-Legal244860728496[[#This Row],[COSTO REAL]]</f>
        <v>0</v>
      </c>
    </row>
    <row r="58" spans="1:10" ht="24.95" customHeight="1">
      <c r="A58" s="4" t="s">
        <v>12</v>
      </c>
      <c r="B58" s="21" t="s">
        <v>36</v>
      </c>
      <c r="C58" s="21" t="s">
        <v>40</v>
      </c>
      <c r="D58" s="21" t="s">
        <v>42</v>
      </c>
      <c r="E58" s="21" t="s">
        <v>43</v>
      </c>
      <c r="F58" s="9"/>
      <c r="G58" s="23" t="s">
        <v>18</v>
      </c>
      <c r="H58" s="24">
        <v>0</v>
      </c>
      <c r="I58" s="24">
        <v>0</v>
      </c>
      <c r="J58" s="24">
        <f>Legal244860728496[[#This Row],[COSTO PREVISTO]]-Legal244860728496[[#This Row],[COSTO REAL]]</f>
        <v>0</v>
      </c>
    </row>
    <row r="59" spans="1:10" ht="24.95" customHeight="1">
      <c r="B59" s="23" t="s">
        <v>33</v>
      </c>
      <c r="C59" s="24">
        <v>0</v>
      </c>
      <c r="D59" s="24">
        <v>0</v>
      </c>
      <c r="E59" s="24">
        <f>CuidadoPersonal254961738597[[#This Row],[Costo previsto]]-CuidadoPersonal254961738597[[#This Row],[Coste real]]</f>
        <v>0</v>
      </c>
      <c r="F59" s="9"/>
      <c r="G59" s="25" t="s">
        <v>19</v>
      </c>
      <c r="H59" s="27" t="s">
        <v>66</v>
      </c>
      <c r="I59" s="27" t="s">
        <v>66</v>
      </c>
      <c r="J59" s="26">
        <f>SUBTOTAL(109,Legal244860728496[DIFERENCIA])</f>
        <v>0</v>
      </c>
    </row>
    <row r="60" spans="1:10" ht="24.95" customHeight="1">
      <c r="B60" s="23" t="s">
        <v>95</v>
      </c>
      <c r="C60" s="24">
        <v>0</v>
      </c>
      <c r="D60" s="24">
        <v>0</v>
      </c>
      <c r="E60" s="24">
        <f>CuidadoPersonal254961738597[[#This Row],[Costo previsto]]-CuidadoPersonal254961738597[[#This Row],[Coste real]]</f>
        <v>0</v>
      </c>
      <c r="F60" s="9"/>
      <c r="G60" s="41"/>
      <c r="H60" s="41"/>
      <c r="I60" s="41"/>
      <c r="J60" s="41"/>
    </row>
    <row r="61" spans="1:10" ht="24.95" customHeight="1">
      <c r="A61" s="4" t="s">
        <v>13</v>
      </c>
      <c r="B61" s="23" t="s">
        <v>37</v>
      </c>
      <c r="C61" s="24">
        <v>0</v>
      </c>
      <c r="D61" s="24">
        <v>0</v>
      </c>
      <c r="E61" s="24">
        <f>CuidadoPersonal254961738597[[#This Row],[Costo previsto]]-CuidadoPersonal254961738597[[#This Row],[Coste real]]</f>
        <v>0</v>
      </c>
      <c r="F61" s="9"/>
      <c r="G61" s="35" t="s">
        <v>89</v>
      </c>
      <c r="H61" s="35"/>
      <c r="I61" s="35"/>
      <c r="J61" s="40">
        <f>SUBTOTAL(109,Alojamiento143850627486[COSTO PREVISTO],Transporte174153657789[Costo previsto],Seguro184254667890[COSTO PREVISTO],Comida214557698193[COSTO PREVISTO],Mascotas234759718395[COSTO PREVISTO],CuidadoPersonal254961738597[Costo previsto],Entretenimiento153951637587[COSTO PREVISTO],Prestamos164052647688[COSTO PREVISTO],Impuestos194355677991[COSTO PREVISTO],Ahorros204456688092[COSTO PREVISTO],Regalos224658708294[COSTO PREVISTO],Legal244860728496[COSTO PREVISTO])</f>
        <v>0</v>
      </c>
    </row>
    <row r="62" spans="1:10" ht="24.95" customHeight="1">
      <c r="B62" s="23" t="s">
        <v>38</v>
      </c>
      <c r="C62" s="24">
        <v>0</v>
      </c>
      <c r="D62" s="24">
        <v>0</v>
      </c>
      <c r="E62" s="24">
        <f>CuidadoPersonal254961738597[[#This Row],[Costo previsto]]-CuidadoPersonal254961738597[[#This Row],[Coste real]]</f>
        <v>0</v>
      </c>
      <c r="F62" s="9"/>
      <c r="G62" s="35"/>
      <c r="H62" s="35"/>
      <c r="I62" s="35"/>
      <c r="J62" s="40"/>
    </row>
    <row r="63" spans="1:10" ht="24.95" customHeight="1">
      <c r="B63" s="23" t="s">
        <v>39</v>
      </c>
      <c r="C63" s="24">
        <v>0</v>
      </c>
      <c r="D63" s="24">
        <v>0</v>
      </c>
      <c r="E63" s="24">
        <f>CuidadoPersonal254961738597[[#This Row],[Costo previsto]]-CuidadoPersonal254961738597[[#This Row],[Coste real]]</f>
        <v>0</v>
      </c>
      <c r="F63" s="9"/>
      <c r="G63" s="35" t="s">
        <v>90</v>
      </c>
      <c r="H63" s="35"/>
      <c r="I63" s="35"/>
      <c r="J63" s="40">
        <f>SUBTOTAL(109,Alojamiento143850627486[COSTO REAL],Transporte174153657789[Costo real],Seguro184254667890[COSTO REAL],Comida214557698193[COSTO REAL],Mascotas234759718395[COSTO REAL],CuidadoPersonal254961738597[Coste real],Entretenimiento153951637587[COSTO REAL],Prestamos164052647688[COSTO REAL],Impuestos194355677991[COSTO REAL],Ahorros204456688092[COSTO REAL],Regalos224658708294[[COSTO REAL ]],Legal244860728496[COSTO REAL])</f>
        <v>0</v>
      </c>
    </row>
    <row r="64" spans="1:10" ht="24.95" customHeight="1">
      <c r="B64" s="23" t="s">
        <v>88</v>
      </c>
      <c r="C64" s="24">
        <v>0</v>
      </c>
      <c r="D64" s="24">
        <v>0</v>
      </c>
      <c r="E64" s="24">
        <f>CuidadoPersonal254961738597[[#This Row],[Costo previsto]]-CuidadoPersonal254961738597[[#This Row],[Coste real]]</f>
        <v>0</v>
      </c>
      <c r="F64" s="9"/>
      <c r="G64" s="35"/>
      <c r="H64" s="35"/>
      <c r="I64" s="35"/>
      <c r="J64" s="40"/>
    </row>
    <row r="65" spans="2:10" ht="24.95" customHeight="1">
      <c r="B65" s="23" t="s">
        <v>18</v>
      </c>
      <c r="C65" s="24">
        <v>0</v>
      </c>
      <c r="D65" s="24">
        <v>0</v>
      </c>
      <c r="E65" s="24">
        <f>CuidadoPersonal254961738597[[#This Row],[Costo previsto]]-CuidadoPersonal254961738597[[#This Row],[Coste real]]</f>
        <v>0</v>
      </c>
      <c r="F65" s="9"/>
      <c r="G65" s="35" t="s">
        <v>91</v>
      </c>
      <c r="H65" s="35"/>
      <c r="I65" s="35"/>
      <c r="J65" s="40">
        <f>J61-J63</f>
        <v>0</v>
      </c>
    </row>
    <row r="66" spans="2:10" ht="24.95" customHeight="1">
      <c r="B66" s="25" t="s">
        <v>19</v>
      </c>
      <c r="C66" s="26">
        <f>SUBTOTAL(109,CuidadoPersonal254961738597[Costo previsto])</f>
        <v>0</v>
      </c>
      <c r="D66" s="26">
        <f>SUBTOTAL(109,CuidadoPersonal254961738597[Coste real])</f>
        <v>0</v>
      </c>
      <c r="E66" s="26">
        <f>SUBTOTAL(109,CuidadoPersonal254961738597[Diferencia])</f>
        <v>0</v>
      </c>
      <c r="F66" s="9"/>
      <c r="G66" s="35"/>
      <c r="H66" s="35"/>
      <c r="I66" s="35"/>
      <c r="J66" s="40"/>
    </row>
    <row r="67" spans="2:10">
      <c r="B67" s="42"/>
      <c r="C67" s="42"/>
      <c r="D67" s="42"/>
      <c r="E67" s="42"/>
    </row>
  </sheetData>
  <mergeCells count="26">
    <mergeCell ref="G63:I64"/>
    <mergeCell ref="J63:J64"/>
    <mergeCell ref="G65:I66"/>
    <mergeCell ref="J65:J66"/>
    <mergeCell ref="B67:E67"/>
    <mergeCell ref="G61:I62"/>
    <mergeCell ref="J61:J62"/>
    <mergeCell ref="G25:J25"/>
    <mergeCell ref="B26:E26"/>
    <mergeCell ref="G34:J34"/>
    <mergeCell ref="B36:E36"/>
    <mergeCell ref="G41:J41"/>
    <mergeCell ref="B43:E43"/>
    <mergeCell ref="G47:J47"/>
    <mergeCell ref="B49:E49"/>
    <mergeCell ref="G53:J53"/>
    <mergeCell ref="B57:E57"/>
    <mergeCell ref="G60:J60"/>
    <mergeCell ref="E8:G9"/>
    <mergeCell ref="H8:H9"/>
    <mergeCell ref="B9:C9"/>
    <mergeCell ref="B4:C4"/>
    <mergeCell ref="E4:G5"/>
    <mergeCell ref="H4:H5"/>
    <mergeCell ref="E6:G7"/>
    <mergeCell ref="H6:H7"/>
  </mergeCells>
  <dataValidations count="12">
    <dataValidation allowBlank="1" showInputMessage="1" showErrorMessage="1" prompt="Cree un presupuesto mensual personal en esta hoja de cálculo. Encontrará instrucciones útiles sobre cómo usar este libro en las celdas de esta columna. Use la flecha hacia abajo para empezar." sqref="A1"/>
    <dataValidation allowBlank="1" showInputMessage="1" showErrorMessage="1" prompt="El título de esta hoja de cálculo está en la celda C2. La instrucción siguiente se encuentra en la celda A4." sqref="A2"/>
    <dataValidation allowBlank="1" showInputMessage="1" showErrorMessage="1" prompt="La etiqueta Ingresos mensuales previstos está en la celda de la derecha. Escriba el Ingreso 1 en la celda C5 y el Ingreso adicional en la C6 para calcular el total de ingresos mensuales en la celda C7. La instrucción siguiente se encuentra en la celda A7." sqref="A4"/>
    <dataValidation allowBlank="1" showInputMessage="1" showErrorMessage="1" prompt="El saldo previsto se calcula automáticamente en la celda H4; el saldo real, en la H6; y la diferencia, en la celda H8. La instrucción siguiente se encuentra en la celda A9." sqref="A7"/>
    <dataValidation allowBlank="1" showInputMessage="1" showErrorMessage="1" prompt="La etiqueta Ingresos mensuales reales está en la celda de la derecha. Escriba el Ingreso 1 en la celda C10 y el Ingreso adicional en la C11 para calcular el total de ingresos mensuales en la celda C12. La instrucción siguiente está en la celda A14." sqref="A9"/>
    <dataValidation allowBlank="1" showInputMessage="1" showErrorMessage="1" prompt="Escriba la información en la tabla Alojamiento, empezando por la celda de la derecha y en la tabla Entretenimiento, empezando por la celda G14. La instrucción siguiente se encuentra en la celda A27." sqref="A14"/>
    <dataValidation allowBlank="1" showInputMessage="1" showErrorMessage="1" prompt="Escriba la información en la tabla Transporte, empezando por la celda de la derecha y en la tabla Préstamos, empezando por la celda G26. La instrucción siguiente se encuentra en la celda A37." sqref="A27"/>
    <dataValidation allowBlank="1" showInputMessage="1" showErrorMessage="1" prompt="Escriba la información en la tabla Seguro, empezando por la celda de la derecha y en la tabla Impuestos, empezando por la celda G35. La instrucción siguiente se encuentra en la celda A44." sqref="A37"/>
    <dataValidation allowBlank="1" showInputMessage="1" showErrorMessage="1" prompt="Escriba la información en la tabla Comida, empezando por la celda de la derecha y en la tabla Ahorros, empezando por la celda G42. La instrucción siguiente se encuentra en la celda A50." sqref="A44"/>
    <dataValidation allowBlank="1" showInputMessage="1" showErrorMessage="1" prompt="Escriba la información en la tabla Mascotas, empezando por la celda de la derecha y en la tabla Regalos, empezando por la celda G48. La instrucción siguiente se encuentra en la celda A58." sqref="A50"/>
    <dataValidation allowBlank="1" showInputMessage="1" showErrorMessage="1" prompt="Escriba la información en la tabla Cuidado personal, empezando por la celda de la derecha y en la tabla Legal, empezando por la celda G54. La instrucción siguiente se encuentra en la celda A61." sqref="A58"/>
    <dataValidation allowBlank="1" showInputMessage="1" showErrorMessage="1" prompt="El total de gastos previstos se calcula automáticamente en la celda J61; el total del gasto real, en la J63; y la diferencia total, en la celda J65." sqref="A61"/>
  </dataValidations>
  <pageMargins left="0.7" right="0.7" top="0.75" bottom="0.75" header="0.3" footer="0.3"/>
  <pageSetup paperSize="9" orientation="portrait" r:id="rId1"/>
  <drawing r:id="rId2"/>
  <tableParts count="12">
    <tablePart r:id="rId3"/>
    <tablePart r:id="rId4"/>
    <tablePart r:id="rId5"/>
    <tablePart r:id="rId6"/>
    <tablePart r:id="rId7"/>
    <tablePart r:id="rId8"/>
    <tablePart r:id="rId9"/>
    <tablePart r:id="rId10"/>
    <tablePart r:id="rId11"/>
    <tablePart r:id="rId12"/>
    <tablePart r:id="rId13"/>
    <tablePart r:id="rId14"/>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O67"/>
  <sheetViews>
    <sheetView zoomScale="70" zoomScaleNormal="70" workbookViewId="0">
      <selection activeCell="H71" sqref="H71"/>
    </sheetView>
  </sheetViews>
  <sheetFormatPr baseColWidth="10" defaultColWidth="9" defaultRowHeight="12.75"/>
  <cols>
    <col min="1" max="1" width="2.625" style="4" customWidth="1"/>
    <col min="2" max="2" width="34.875" customWidth="1"/>
    <col min="3" max="3" width="20.875" customWidth="1"/>
    <col min="4" max="4" width="17.625" customWidth="1"/>
    <col min="5" max="5" width="16" customWidth="1"/>
    <col min="6" max="6" width="2.625" customWidth="1"/>
    <col min="7" max="7" width="34.875" customWidth="1"/>
    <col min="8" max="8" width="19.625" customWidth="1"/>
    <col min="9" max="9" width="16.25" customWidth="1"/>
    <col min="10" max="10" width="17.625" customWidth="1"/>
    <col min="11" max="11" width="2.625" customWidth="1"/>
  </cols>
  <sheetData>
    <row r="1" spans="1:15" s="1" customFormat="1" ht="14.25">
      <c r="A1" s="3" t="s">
        <v>2</v>
      </c>
    </row>
    <row r="2" spans="1:15" s="1" customFormat="1" ht="71.25" customHeight="1">
      <c r="A2" s="10" t="s">
        <v>3</v>
      </c>
      <c r="B2" s="12"/>
      <c r="C2" s="13"/>
      <c r="D2" s="14"/>
      <c r="E2" s="14"/>
      <c r="F2" s="14"/>
      <c r="G2" s="14"/>
      <c r="H2" s="14"/>
      <c r="I2" s="15"/>
      <c r="J2" s="15"/>
      <c r="K2" s="12"/>
    </row>
    <row r="3" spans="1:15">
      <c r="B3" s="16"/>
      <c r="C3" s="16"/>
      <c r="D3" s="16"/>
      <c r="E3" s="16"/>
      <c r="F3" s="16"/>
      <c r="G3" s="16"/>
      <c r="H3" s="16"/>
      <c r="I3" s="16"/>
      <c r="J3" s="16"/>
      <c r="K3" s="16"/>
    </row>
    <row r="4" spans="1:15" ht="24.95" customHeight="1">
      <c r="A4" s="4" t="s">
        <v>4</v>
      </c>
      <c r="B4" s="37" t="s">
        <v>67</v>
      </c>
      <c r="C4" s="39"/>
      <c r="D4" s="6"/>
      <c r="E4" s="35" t="s">
        <v>92</v>
      </c>
      <c r="F4" s="35"/>
      <c r="G4" s="35"/>
      <c r="H4" s="36">
        <f>C7-J61</f>
        <v>0</v>
      </c>
    </row>
    <row r="5" spans="1:15" ht="24.95" customHeight="1">
      <c r="B5" s="17" t="s">
        <v>14</v>
      </c>
      <c r="C5" s="18">
        <v>0</v>
      </c>
      <c r="E5" s="35"/>
      <c r="F5" s="35"/>
      <c r="G5" s="35"/>
      <c r="H5" s="36"/>
      <c r="I5" s="7"/>
    </row>
    <row r="6" spans="1:15" ht="24.95" customHeight="1">
      <c r="B6" s="17" t="s">
        <v>69</v>
      </c>
      <c r="C6" s="18">
        <v>0</v>
      </c>
      <c r="E6" s="35" t="s">
        <v>93</v>
      </c>
      <c r="F6" s="35"/>
      <c r="G6" s="35"/>
      <c r="H6" s="36">
        <f>C12-J63</f>
        <v>0</v>
      </c>
      <c r="I6" s="7"/>
    </row>
    <row r="7" spans="1:15" ht="24.95" customHeight="1">
      <c r="A7" s="4" t="s">
        <v>5</v>
      </c>
      <c r="B7" s="17" t="s">
        <v>70</v>
      </c>
      <c r="C7" s="20">
        <f>SUM(C5:C6)</f>
        <v>0</v>
      </c>
      <c r="E7" s="35"/>
      <c r="F7" s="35"/>
      <c r="G7" s="35"/>
      <c r="H7" s="36"/>
      <c r="I7" s="7"/>
    </row>
    <row r="8" spans="1:15" ht="24.95" customHeight="1">
      <c r="B8" s="2"/>
      <c r="C8" s="2"/>
      <c r="D8" s="2"/>
      <c r="E8" s="35" t="s">
        <v>94</v>
      </c>
      <c r="F8" s="35"/>
      <c r="G8" s="35"/>
      <c r="H8" s="36">
        <f>H6-H4</f>
        <v>0</v>
      </c>
      <c r="I8" s="7"/>
    </row>
    <row r="9" spans="1:15" ht="24.95" customHeight="1">
      <c r="A9" s="4" t="s">
        <v>6</v>
      </c>
      <c r="B9" s="37" t="s">
        <v>68</v>
      </c>
      <c r="C9" s="38"/>
      <c r="D9" s="6"/>
      <c r="E9" s="35"/>
      <c r="F9" s="35"/>
      <c r="G9" s="35"/>
      <c r="H9" s="36"/>
      <c r="I9" s="8"/>
    </row>
    <row r="10" spans="1:15" ht="24.95" customHeight="1">
      <c r="B10" s="17" t="s">
        <v>99</v>
      </c>
      <c r="C10" s="18">
        <v>0</v>
      </c>
      <c r="I10" s="7"/>
    </row>
    <row r="11" spans="1:15" ht="24.95" customHeight="1">
      <c r="B11" s="17" t="s">
        <v>69</v>
      </c>
      <c r="C11" s="18">
        <v>0</v>
      </c>
      <c r="E11" s="7"/>
      <c r="H11" s="11"/>
      <c r="I11" s="11"/>
    </row>
    <row r="12" spans="1:15" ht="24.95" customHeight="1">
      <c r="B12" s="19" t="s">
        <v>70</v>
      </c>
      <c r="C12" s="20">
        <f>SUM(C10:C11)</f>
        <v>0</v>
      </c>
    </row>
    <row r="14" spans="1:15" ht="24.95" customHeight="1">
      <c r="A14" s="4" t="s">
        <v>7</v>
      </c>
      <c r="B14" s="21" t="s">
        <v>74</v>
      </c>
      <c r="C14" s="21" t="s">
        <v>76</v>
      </c>
      <c r="D14" s="21" t="s">
        <v>75</v>
      </c>
      <c r="E14" s="21" t="s">
        <v>77</v>
      </c>
      <c r="F14" s="9"/>
      <c r="G14" s="21" t="s">
        <v>44</v>
      </c>
      <c r="H14" s="21" t="s">
        <v>76</v>
      </c>
      <c r="I14" s="21" t="s">
        <v>75</v>
      </c>
      <c r="J14" s="21" t="s">
        <v>77</v>
      </c>
      <c r="O14" s="22"/>
    </row>
    <row r="15" spans="1:15" ht="25.5" customHeight="1">
      <c r="B15" s="23" t="s">
        <v>78</v>
      </c>
      <c r="C15" s="24">
        <v>0</v>
      </c>
      <c r="D15" s="24">
        <v>0</v>
      </c>
      <c r="E15" s="24">
        <f>Alojamiento14385062748698[[#This Row],[COSTO PREVISTO]]-Alojamiento14385062748698[[#This Row],[COSTO REAL]]</f>
        <v>0</v>
      </c>
      <c r="F15" s="9"/>
      <c r="G15" s="23" t="s">
        <v>45</v>
      </c>
      <c r="H15" s="24">
        <v>0</v>
      </c>
      <c r="I15" s="24">
        <v>0</v>
      </c>
      <c r="J15" s="24">
        <f>Entretenimiento15395163758799[[#This Row],[COSTO PREVISTO]]-Entretenimiento15395163758799[[#This Row],[COSTO REAL]]</f>
        <v>0</v>
      </c>
    </row>
    <row r="16" spans="1:15" ht="24.95" customHeight="1">
      <c r="B16" s="23" t="s">
        <v>61</v>
      </c>
      <c r="C16" s="24">
        <v>0</v>
      </c>
      <c r="D16" s="24">
        <v>0</v>
      </c>
      <c r="E16" s="24">
        <f>Alojamiento14385062748698[[#This Row],[COSTO PREVISTO]]-Alojamiento14385062748698[[#This Row],[COSTO REAL]]</f>
        <v>0</v>
      </c>
      <c r="F16" s="9"/>
      <c r="G16" s="23" t="s">
        <v>46</v>
      </c>
      <c r="H16" s="24">
        <v>0</v>
      </c>
      <c r="I16" s="24">
        <v>0</v>
      </c>
      <c r="J16" s="24">
        <f>Entretenimiento15395163758799[[#This Row],[COSTO PREVISTO]]-Entretenimiento15395163758799[[#This Row],[COSTO REAL]]</f>
        <v>0</v>
      </c>
    </row>
    <row r="17" spans="1:10" ht="24.95" customHeight="1">
      <c r="B17" s="23" t="s">
        <v>15</v>
      </c>
      <c r="C17" s="24">
        <v>0</v>
      </c>
      <c r="D17" s="24">
        <v>0</v>
      </c>
      <c r="E17" s="24">
        <f>Alojamiento14385062748698[[#This Row],[COSTO PREVISTO]]-Alojamiento14385062748698[[#This Row],[COSTO REAL]]</f>
        <v>0</v>
      </c>
      <c r="F17" s="9"/>
      <c r="G17" s="23" t="s">
        <v>47</v>
      </c>
      <c r="H17" s="24">
        <v>0</v>
      </c>
      <c r="I17" s="24">
        <v>0</v>
      </c>
      <c r="J17" s="24">
        <f>Entretenimiento15395163758799[[#This Row],[COSTO PREVISTO]]-Entretenimiento15395163758799[[#This Row],[COSTO REAL]]</f>
        <v>0</v>
      </c>
    </row>
    <row r="18" spans="1:10" ht="24.95" customHeight="1">
      <c r="B18" s="23" t="s">
        <v>16</v>
      </c>
      <c r="C18" s="24">
        <v>0</v>
      </c>
      <c r="D18" s="24">
        <v>0</v>
      </c>
      <c r="E18" s="24">
        <f>Alojamiento14385062748698[[#This Row],[COSTO PREVISTO]]-Alojamiento14385062748698[[#This Row],[COSTO REAL]]</f>
        <v>0</v>
      </c>
      <c r="F18" s="9"/>
      <c r="G18" s="23" t="s">
        <v>48</v>
      </c>
      <c r="H18" s="24">
        <v>0</v>
      </c>
      <c r="I18" s="24">
        <v>0</v>
      </c>
      <c r="J18" s="24">
        <f>Entretenimiento15395163758799[[#This Row],[COSTO PREVISTO]]-Entretenimiento15395163758799[[#This Row],[COSTO REAL]]</f>
        <v>0</v>
      </c>
    </row>
    <row r="19" spans="1:10" ht="24.95" customHeight="1">
      <c r="B19" s="23" t="s">
        <v>71</v>
      </c>
      <c r="C19" s="24">
        <v>0</v>
      </c>
      <c r="D19" s="24">
        <v>0</v>
      </c>
      <c r="E19" s="24">
        <f>Alojamiento14385062748698[[#This Row],[COSTO PREVISTO]]-Alojamiento14385062748698[[#This Row],[COSTO REAL]]</f>
        <v>0</v>
      </c>
      <c r="F19" s="9"/>
      <c r="G19" s="23" t="s">
        <v>82</v>
      </c>
      <c r="H19" s="24">
        <v>0</v>
      </c>
      <c r="I19" s="24">
        <v>0</v>
      </c>
      <c r="J19" s="24">
        <f>Entretenimiento15395163758799[[#This Row],[COSTO PREVISTO]]-Entretenimiento15395163758799[[#This Row],[COSTO REAL]]</f>
        <v>0</v>
      </c>
    </row>
    <row r="20" spans="1:10" ht="24.95" customHeight="1">
      <c r="B20" s="23" t="s">
        <v>72</v>
      </c>
      <c r="C20" s="24">
        <v>0</v>
      </c>
      <c r="D20" s="24">
        <v>0</v>
      </c>
      <c r="E20" s="24">
        <f>Alojamiento14385062748698[[#This Row],[COSTO PREVISTO]]-Alojamiento14385062748698[[#This Row],[COSTO REAL]]</f>
        <v>0</v>
      </c>
      <c r="F20" s="9"/>
      <c r="G20" s="23" t="s">
        <v>49</v>
      </c>
      <c r="H20" s="24">
        <v>0</v>
      </c>
      <c r="I20" s="24">
        <v>0</v>
      </c>
      <c r="J20" s="24">
        <f>Entretenimiento15395163758799[[#This Row],[COSTO PREVISTO]]-Entretenimiento15395163758799[[#This Row],[COSTO REAL]]</f>
        <v>0</v>
      </c>
    </row>
    <row r="21" spans="1:10" ht="24.95" customHeight="1">
      <c r="B21" s="23" t="s">
        <v>81</v>
      </c>
      <c r="C21" s="24">
        <v>0</v>
      </c>
      <c r="D21" s="24">
        <v>0</v>
      </c>
      <c r="E21" s="24">
        <f>Alojamiento14385062748698[[#This Row],[COSTO PREVISTO]]-Alojamiento14385062748698[[#This Row],[COSTO REAL]]</f>
        <v>0</v>
      </c>
      <c r="F21" s="9"/>
      <c r="G21" s="23" t="s">
        <v>18</v>
      </c>
      <c r="H21" s="24">
        <v>0</v>
      </c>
      <c r="I21" s="24">
        <v>0</v>
      </c>
      <c r="J21" s="24">
        <f>Entretenimiento15395163758799[[#This Row],[COSTO PREVISTO]]-Entretenimiento15395163758799[[#This Row],[COSTO REAL]]</f>
        <v>0</v>
      </c>
    </row>
    <row r="22" spans="1:10" ht="24.95" customHeight="1">
      <c r="B22" s="23" t="s">
        <v>73</v>
      </c>
      <c r="C22" s="24">
        <v>0</v>
      </c>
      <c r="D22" s="24">
        <v>0</v>
      </c>
      <c r="E22" s="24">
        <f>Alojamiento14385062748698[[#This Row],[COSTO PREVISTO]]-Alojamiento14385062748698[[#This Row],[COSTO REAL]]</f>
        <v>0</v>
      </c>
      <c r="F22" s="9"/>
      <c r="G22" s="23" t="s">
        <v>18</v>
      </c>
      <c r="H22" s="24">
        <v>0</v>
      </c>
      <c r="I22" s="24">
        <v>0</v>
      </c>
      <c r="J22" s="24">
        <f>Entretenimiento15395163758799[[#This Row],[COSTO PREVISTO]]-Entretenimiento15395163758799[[#This Row],[COSTO REAL]]</f>
        <v>0</v>
      </c>
    </row>
    <row r="23" spans="1:10" ht="24.95" customHeight="1">
      <c r="B23" s="23" t="s">
        <v>17</v>
      </c>
      <c r="C23" s="24">
        <v>0</v>
      </c>
      <c r="D23" s="24">
        <v>0</v>
      </c>
      <c r="E23" s="24">
        <f>Alojamiento14385062748698[[#This Row],[COSTO PREVISTO]]-Alojamiento14385062748698[[#This Row],[COSTO REAL]]</f>
        <v>0</v>
      </c>
      <c r="F23" s="9"/>
      <c r="G23" s="23" t="s">
        <v>18</v>
      </c>
      <c r="H23" s="24">
        <v>0</v>
      </c>
      <c r="I23" s="24">
        <v>0</v>
      </c>
      <c r="J23" s="24">
        <f>Entretenimiento15395163758799[[#This Row],[COSTO PREVISTO]]-Entretenimiento15395163758799[[#This Row],[COSTO REAL]]</f>
        <v>0</v>
      </c>
    </row>
    <row r="24" spans="1:10" ht="24.95" customHeight="1">
      <c r="B24" s="23" t="s">
        <v>18</v>
      </c>
      <c r="C24" s="24">
        <v>0</v>
      </c>
      <c r="D24" s="24">
        <v>0</v>
      </c>
      <c r="E24" s="24">
        <f>Alojamiento14385062748698[[#This Row],[COSTO PREVISTO]]-Alojamiento14385062748698[[#This Row],[COSTO REAL]]</f>
        <v>0</v>
      </c>
      <c r="F24" s="9"/>
      <c r="G24" s="25" t="s">
        <v>19</v>
      </c>
      <c r="H24" s="27" t="s">
        <v>66</v>
      </c>
      <c r="I24" s="27" t="s">
        <v>66</v>
      </c>
      <c r="J24" s="26">
        <f>SUBTOTAL(109,Entretenimiento15395163758799[DIFERENCIA])</f>
        <v>0</v>
      </c>
    </row>
    <row r="25" spans="1:10" ht="24.95" customHeight="1">
      <c r="B25" s="25" t="s">
        <v>19</v>
      </c>
      <c r="C25" s="26">
        <f>SUBTOTAL(109,Alojamiento14385062748698[COSTO PREVISTO])</f>
        <v>0</v>
      </c>
      <c r="D25" s="26">
        <f>SUBTOTAL(109,Alojamiento14385062748698[COSTO REAL])</f>
        <v>0</v>
      </c>
      <c r="E25" s="26">
        <f>SUBTOTAL(109,Alojamiento14385062748698[DIFERENCIA])</f>
        <v>0</v>
      </c>
      <c r="F25" s="9"/>
      <c r="G25" s="41"/>
      <c r="H25" s="41"/>
      <c r="I25" s="41"/>
      <c r="J25" s="41"/>
    </row>
    <row r="26" spans="1:10" ht="24.95" customHeight="1">
      <c r="B26" s="41"/>
      <c r="C26" s="41"/>
      <c r="D26" s="41"/>
      <c r="E26" s="41"/>
      <c r="F26" s="9"/>
      <c r="G26" s="21" t="s">
        <v>50</v>
      </c>
      <c r="H26" s="21" t="s">
        <v>76</v>
      </c>
      <c r="I26" s="21" t="s">
        <v>75</v>
      </c>
      <c r="J26" s="21" t="s">
        <v>77</v>
      </c>
    </row>
    <row r="27" spans="1:10" ht="24.95" customHeight="1">
      <c r="A27" s="4" t="s">
        <v>8</v>
      </c>
      <c r="B27" s="21" t="s">
        <v>20</v>
      </c>
      <c r="C27" s="21" t="s">
        <v>40</v>
      </c>
      <c r="D27" s="21" t="s">
        <v>41</v>
      </c>
      <c r="E27" s="21" t="s">
        <v>43</v>
      </c>
      <c r="F27" s="9"/>
      <c r="G27" s="23" t="s">
        <v>51</v>
      </c>
      <c r="H27" s="24">
        <v>0</v>
      </c>
      <c r="I27" s="24">
        <v>0</v>
      </c>
      <c r="J27" s="24">
        <f>Prestamos164052647688100[[#This Row],[COSTO PREVISTO]]-Prestamos164052647688100[[#This Row],[COSTO REAL]]</f>
        <v>0</v>
      </c>
    </row>
    <row r="28" spans="1:10" ht="24.95" customHeight="1">
      <c r="B28" s="23" t="s">
        <v>62</v>
      </c>
      <c r="C28" s="24">
        <v>0</v>
      </c>
      <c r="D28" s="24">
        <v>0</v>
      </c>
      <c r="E28" s="24">
        <f>Transporte174153657789101[[#This Row],[Costo previsto]]-Transporte174153657789101[[#This Row],[Costo real]]</f>
        <v>0</v>
      </c>
      <c r="F28" s="9"/>
      <c r="G28" s="23" t="s">
        <v>52</v>
      </c>
      <c r="H28" s="24">
        <v>0</v>
      </c>
      <c r="I28" s="24">
        <v>0</v>
      </c>
      <c r="J28" s="24">
        <f>Prestamos164052647688100[[#This Row],[COSTO PREVISTO]]-Prestamos164052647688100[[#This Row],[COSTO REAL]]</f>
        <v>0</v>
      </c>
    </row>
    <row r="29" spans="1:10" ht="24.95" customHeight="1">
      <c r="B29" s="23" t="s">
        <v>83</v>
      </c>
      <c r="C29" s="24">
        <v>0</v>
      </c>
      <c r="D29" s="24">
        <v>0</v>
      </c>
      <c r="E29" s="24">
        <f>Transporte174153657789101[[#This Row],[Costo previsto]]-Transporte174153657789101[[#This Row],[Costo real]]</f>
        <v>0</v>
      </c>
      <c r="F29" s="9"/>
      <c r="G29" s="23" t="s">
        <v>53</v>
      </c>
      <c r="H29" s="24">
        <v>0</v>
      </c>
      <c r="I29" s="24">
        <v>0</v>
      </c>
      <c r="J29" s="24">
        <f>Prestamos164052647688100[[#This Row],[COSTO PREVISTO]]-Prestamos164052647688100[[#This Row],[COSTO REAL]]</f>
        <v>0</v>
      </c>
    </row>
    <row r="30" spans="1:10" ht="24.95" customHeight="1">
      <c r="B30" s="23" t="s">
        <v>21</v>
      </c>
      <c r="C30" s="24">
        <v>0</v>
      </c>
      <c r="D30" s="24">
        <v>0</v>
      </c>
      <c r="E30" s="24">
        <f>Transporte174153657789101[[#This Row],[Costo previsto]]-Transporte174153657789101[[#This Row],[Costo real]]</f>
        <v>0</v>
      </c>
      <c r="F30" s="9"/>
      <c r="G30" s="23" t="s">
        <v>53</v>
      </c>
      <c r="H30" s="24">
        <v>0</v>
      </c>
      <c r="I30" s="24">
        <v>0</v>
      </c>
      <c r="J30" s="24">
        <f>Prestamos164052647688100[[#This Row],[COSTO PREVISTO]]-Prestamos164052647688100[[#This Row],[COSTO REAL]]</f>
        <v>0</v>
      </c>
    </row>
    <row r="31" spans="1:10" ht="24.95" customHeight="1">
      <c r="B31" s="23" t="s">
        <v>22</v>
      </c>
      <c r="C31" s="24">
        <v>0</v>
      </c>
      <c r="D31" s="24">
        <v>0</v>
      </c>
      <c r="E31" s="24">
        <f>Transporte174153657789101[[#This Row],[Costo previsto]]-Transporte174153657789101[[#This Row],[Costo real]]</f>
        <v>0</v>
      </c>
      <c r="F31" s="9"/>
      <c r="G31" s="23" t="s">
        <v>53</v>
      </c>
      <c r="H31" s="24">
        <v>0</v>
      </c>
      <c r="I31" s="24">
        <v>0</v>
      </c>
      <c r="J31" s="24">
        <f>Prestamos164052647688100[[#This Row],[COSTO PREVISTO]]-Prestamos164052647688100[[#This Row],[COSTO REAL]]</f>
        <v>0</v>
      </c>
    </row>
    <row r="32" spans="1:10" ht="24.95" customHeight="1">
      <c r="B32" s="23" t="s">
        <v>23</v>
      </c>
      <c r="C32" s="24">
        <v>0</v>
      </c>
      <c r="D32" s="24">
        <v>0</v>
      </c>
      <c r="E32" s="24">
        <f>Transporte174153657789101[[#This Row],[Costo previsto]]-Transporte174153657789101[[#This Row],[Costo real]]</f>
        <v>0</v>
      </c>
      <c r="F32" s="9"/>
      <c r="G32" s="23" t="s">
        <v>18</v>
      </c>
      <c r="H32" s="24">
        <v>0</v>
      </c>
      <c r="I32" s="24">
        <v>0</v>
      </c>
      <c r="J32" s="24">
        <f>Prestamos164052647688100[[#This Row],[COSTO PREVISTO]]-Prestamos164052647688100[[#This Row],[COSTO REAL]]</f>
        <v>0</v>
      </c>
    </row>
    <row r="33" spans="1:10" ht="24.95" customHeight="1">
      <c r="B33" s="23" t="s">
        <v>24</v>
      </c>
      <c r="C33" s="24">
        <v>0</v>
      </c>
      <c r="D33" s="24">
        <v>0</v>
      </c>
      <c r="E33" s="24">
        <f>Transporte174153657789101[[#This Row],[Costo previsto]]-Transporte174153657789101[[#This Row],[Costo real]]</f>
        <v>0</v>
      </c>
      <c r="F33" s="9"/>
      <c r="G33" s="25" t="s">
        <v>19</v>
      </c>
      <c r="H33" s="27" t="s">
        <v>66</v>
      </c>
      <c r="I33" s="27" t="s">
        <v>66</v>
      </c>
      <c r="J33" s="26">
        <f>SUBTOTAL(109,Prestamos164052647688100[DIFERENCIA])</f>
        <v>0</v>
      </c>
    </row>
    <row r="34" spans="1:10" ht="24.95" customHeight="1">
      <c r="B34" s="23" t="s">
        <v>64</v>
      </c>
      <c r="C34" s="24">
        <v>0</v>
      </c>
      <c r="D34" s="24">
        <v>0</v>
      </c>
      <c r="E34" s="24">
        <f>Transporte174153657789101[[#This Row],[Costo previsto]]-Transporte174153657789101[[#This Row],[Costo real]]</f>
        <v>0</v>
      </c>
      <c r="F34" s="9"/>
      <c r="G34" s="41"/>
      <c r="H34" s="41"/>
      <c r="I34" s="41"/>
      <c r="J34" s="41"/>
    </row>
    <row r="35" spans="1:10" ht="24.95" customHeight="1">
      <c r="B35" s="25" t="s">
        <v>19</v>
      </c>
      <c r="C35" s="26">
        <f>SUBTOTAL(109,Transporte174153657789101[Costo previsto])</f>
        <v>0</v>
      </c>
      <c r="D35" s="26">
        <f>SUBTOTAL(109,Transporte174153657789101[Costo real])</f>
        <v>0</v>
      </c>
      <c r="E35" s="26">
        <f>SUBTOTAL(109,Transporte174153657789101[Diferencia])</f>
        <v>0</v>
      </c>
      <c r="F35" s="9"/>
      <c r="G35" s="21" t="s">
        <v>54</v>
      </c>
      <c r="H35" s="21" t="s">
        <v>76</v>
      </c>
      <c r="I35" s="21" t="s">
        <v>75</v>
      </c>
      <c r="J35" s="21" t="s">
        <v>77</v>
      </c>
    </row>
    <row r="36" spans="1:10" ht="24.95" customHeight="1">
      <c r="B36" s="41"/>
      <c r="C36" s="41"/>
      <c r="D36" s="41"/>
      <c r="E36" s="41"/>
      <c r="F36" s="9"/>
      <c r="G36" s="23" t="s">
        <v>55</v>
      </c>
      <c r="H36" s="24">
        <v>0</v>
      </c>
      <c r="I36" s="24">
        <v>0</v>
      </c>
      <c r="J36" s="24">
        <f>Impuestos194355677991103[[#This Row],[COSTO PREVISTO]]-Impuestos194355677991103[[#This Row],[COSTO REAL]]</f>
        <v>0</v>
      </c>
    </row>
    <row r="37" spans="1:10" ht="24.95" customHeight="1">
      <c r="A37" s="4" t="s">
        <v>9</v>
      </c>
      <c r="B37" s="21" t="s">
        <v>25</v>
      </c>
      <c r="C37" s="21" t="s">
        <v>76</v>
      </c>
      <c r="D37" s="21" t="s">
        <v>75</v>
      </c>
      <c r="E37" s="21" t="s">
        <v>77</v>
      </c>
      <c r="F37" s="9"/>
      <c r="G37" s="23" t="s">
        <v>56</v>
      </c>
      <c r="H37" s="24">
        <v>0</v>
      </c>
      <c r="I37" s="24">
        <v>0</v>
      </c>
      <c r="J37" s="24">
        <f>Impuestos194355677991103[[#This Row],[COSTO PREVISTO]]-Impuestos194355677991103[[#This Row],[COSTO REAL]]</f>
        <v>0</v>
      </c>
    </row>
    <row r="38" spans="1:10" ht="24.95" customHeight="1">
      <c r="B38" s="23" t="s">
        <v>26</v>
      </c>
      <c r="C38" s="24">
        <v>0</v>
      </c>
      <c r="D38" s="24">
        <v>0</v>
      </c>
      <c r="E38" s="24">
        <f>Seguro184254667890102[[#This Row],[COSTO PREVISTO]]-Seguro184254667890102[[#This Row],[COSTO REAL]]</f>
        <v>0</v>
      </c>
      <c r="F38" s="9"/>
      <c r="G38" s="23" t="s">
        <v>57</v>
      </c>
      <c r="H38" s="24">
        <v>0</v>
      </c>
      <c r="I38" s="24">
        <v>0</v>
      </c>
      <c r="J38" s="24">
        <f>Impuestos194355677991103[[#This Row],[COSTO PREVISTO]]-Impuestos194355677991103[[#This Row],[COSTO REAL]]</f>
        <v>0</v>
      </c>
    </row>
    <row r="39" spans="1:10" ht="24.95" customHeight="1">
      <c r="B39" s="23" t="s">
        <v>98</v>
      </c>
      <c r="C39" s="24">
        <v>0</v>
      </c>
      <c r="D39" s="24">
        <v>0</v>
      </c>
      <c r="E39" s="24">
        <f>Seguro184254667890102[[#This Row],[COSTO PREVISTO]]-Seguro184254667890102[[#This Row],[COSTO REAL]]</f>
        <v>0</v>
      </c>
      <c r="F39" s="9"/>
      <c r="G39" s="23" t="s">
        <v>18</v>
      </c>
      <c r="H39" s="24">
        <v>0</v>
      </c>
      <c r="I39" s="24">
        <v>0</v>
      </c>
      <c r="J39" s="24">
        <f>Impuestos194355677991103[[#This Row],[COSTO PREVISTO]]-Impuestos194355677991103[[#This Row],[COSTO REAL]]</f>
        <v>0</v>
      </c>
    </row>
    <row r="40" spans="1:10" ht="24.95" customHeight="1">
      <c r="B40" s="23" t="s">
        <v>27</v>
      </c>
      <c r="C40" s="24">
        <v>0</v>
      </c>
      <c r="D40" s="24">
        <v>0</v>
      </c>
      <c r="E40" s="24">
        <f>Seguro184254667890102[[#This Row],[COSTO PREVISTO]]-Seguro184254667890102[[#This Row],[COSTO REAL]]</f>
        <v>0</v>
      </c>
      <c r="F40" s="9"/>
      <c r="G40" s="25" t="s">
        <v>19</v>
      </c>
      <c r="H40" s="27" t="s">
        <v>66</v>
      </c>
      <c r="I40" s="27" t="s">
        <v>66</v>
      </c>
      <c r="J40" s="26">
        <f>SUBTOTAL(109,Impuestos194355677991103[DIFERENCIA])</f>
        <v>0</v>
      </c>
    </row>
    <row r="41" spans="1:10" ht="24.95" customHeight="1">
      <c r="B41" s="23" t="s">
        <v>18</v>
      </c>
      <c r="C41" s="24">
        <v>0</v>
      </c>
      <c r="D41" s="24">
        <v>0</v>
      </c>
      <c r="E41" s="24">
        <f>Seguro184254667890102[[#This Row],[COSTO PREVISTO]]-Seguro184254667890102[[#This Row],[COSTO REAL]]</f>
        <v>0</v>
      </c>
      <c r="F41" s="9"/>
      <c r="G41" s="41"/>
      <c r="H41" s="41"/>
      <c r="I41" s="41"/>
      <c r="J41" s="41"/>
    </row>
    <row r="42" spans="1:10" ht="24.95" customHeight="1">
      <c r="B42" s="25" t="s">
        <v>19</v>
      </c>
      <c r="C42" s="26">
        <f>SUBTOTAL(109,Seguro184254667890102[COSTO PREVISTO])</f>
        <v>0</v>
      </c>
      <c r="D42" s="26">
        <f>SUBTOTAL(109,Seguro184254667890102[COSTO REAL])</f>
        <v>0</v>
      </c>
      <c r="E42" s="26">
        <f>SUBTOTAL(109,Seguro184254667890102[DIFERENCIA])</f>
        <v>0</v>
      </c>
      <c r="F42" s="9"/>
      <c r="G42" s="21" t="s">
        <v>58</v>
      </c>
      <c r="H42" s="21" t="s">
        <v>76</v>
      </c>
      <c r="I42" s="21" t="s">
        <v>75</v>
      </c>
      <c r="J42" s="21" t="s">
        <v>77</v>
      </c>
    </row>
    <row r="43" spans="1:10" ht="24.95" customHeight="1">
      <c r="B43" s="41"/>
      <c r="C43" s="41"/>
      <c r="D43" s="41"/>
      <c r="E43" s="41"/>
      <c r="F43" s="9"/>
      <c r="G43" s="23" t="s">
        <v>96</v>
      </c>
      <c r="H43" s="24">
        <v>0</v>
      </c>
      <c r="I43" s="24">
        <v>0</v>
      </c>
      <c r="J43" s="24">
        <f>Ahorros204456688092104[[#This Row],[COSTO PREVISTO]]-Ahorros204456688092104[[#This Row],[COSTO REAL]]</f>
        <v>0</v>
      </c>
    </row>
    <row r="44" spans="1:10" ht="24.95" customHeight="1">
      <c r="A44" s="4" t="s">
        <v>10</v>
      </c>
      <c r="B44" s="21" t="s">
        <v>28</v>
      </c>
      <c r="C44" s="21" t="s">
        <v>76</v>
      </c>
      <c r="D44" s="21" t="s">
        <v>75</v>
      </c>
      <c r="E44" s="21" t="s">
        <v>77</v>
      </c>
      <c r="F44" s="9"/>
      <c r="G44" s="23" t="s">
        <v>97</v>
      </c>
      <c r="H44" s="24">
        <v>0</v>
      </c>
      <c r="I44" s="24">
        <v>0</v>
      </c>
      <c r="J44" s="24">
        <f>Ahorros204456688092104[[#This Row],[COSTO PREVISTO]]-Ahorros204456688092104[[#This Row],[COSTO REAL]]</f>
        <v>0</v>
      </c>
    </row>
    <row r="45" spans="1:10" ht="24.95" customHeight="1">
      <c r="B45" s="23" t="s">
        <v>29</v>
      </c>
      <c r="C45" s="24">
        <v>0</v>
      </c>
      <c r="D45" s="24">
        <v>0</v>
      </c>
      <c r="E45" s="24">
        <f>Comida214557698193105[[#This Row],[COSTO PREVISTO]]-Comida214557698193105[[#This Row],[COSTO REAL]]</f>
        <v>0</v>
      </c>
      <c r="F45" s="9"/>
      <c r="G45" s="23" t="s">
        <v>18</v>
      </c>
      <c r="H45" s="24">
        <v>0</v>
      </c>
      <c r="I45" s="24">
        <v>0</v>
      </c>
      <c r="J45" s="24">
        <f>Ahorros204456688092104[[#This Row],[COSTO PREVISTO]]-Ahorros204456688092104[[#This Row],[COSTO REAL]]</f>
        <v>0</v>
      </c>
    </row>
    <row r="46" spans="1:10" ht="24.95" customHeight="1">
      <c r="B46" s="23" t="s">
        <v>30</v>
      </c>
      <c r="C46" s="24">
        <v>0</v>
      </c>
      <c r="D46" s="24">
        <v>0</v>
      </c>
      <c r="E46" s="24">
        <f>Comida214557698193105[[#This Row],[COSTO PREVISTO]]-Comida214557698193105[[#This Row],[COSTO REAL]]</f>
        <v>0</v>
      </c>
      <c r="F46" s="9"/>
      <c r="G46" s="25" t="s">
        <v>19</v>
      </c>
      <c r="H46" s="27" t="s">
        <v>66</v>
      </c>
      <c r="I46" s="27" t="s">
        <v>66</v>
      </c>
      <c r="J46" s="26">
        <f>SUBTOTAL(109,Ahorros204456688092104[DIFERENCIA])</f>
        <v>0</v>
      </c>
    </row>
    <row r="47" spans="1:10" ht="24.95" customHeight="1">
      <c r="B47" s="23" t="s">
        <v>65</v>
      </c>
      <c r="C47" s="24">
        <v>0</v>
      </c>
      <c r="D47" s="24">
        <v>0</v>
      </c>
      <c r="E47" s="24">
        <f>Comida214557698193105[[#This Row],[COSTO PREVISTO]]-Comida214557698193105[[#This Row],[COSTO REAL]]</f>
        <v>0</v>
      </c>
      <c r="F47" s="9"/>
      <c r="G47" s="41"/>
      <c r="H47" s="41"/>
      <c r="I47" s="41"/>
      <c r="J47" s="41"/>
    </row>
    <row r="48" spans="1:10" ht="24.95" customHeight="1">
      <c r="B48" s="25" t="s">
        <v>19</v>
      </c>
      <c r="C48" s="26">
        <f>SUBTOTAL(109,Comida214557698193105[COSTO PREVISTO])</f>
        <v>0</v>
      </c>
      <c r="D48" s="26">
        <f>SUBTOTAL(109,Comida214557698193105[COSTO REAL])</f>
        <v>0</v>
      </c>
      <c r="E48" s="26">
        <f>SUBTOTAL(109,Comida214557698193105[DIFERENCIA])</f>
        <v>0</v>
      </c>
      <c r="F48" s="9"/>
      <c r="G48" s="21" t="s">
        <v>79</v>
      </c>
      <c r="H48" s="21" t="s">
        <v>76</v>
      </c>
      <c r="I48" s="21" t="s">
        <v>80</v>
      </c>
      <c r="J48" s="21" t="s">
        <v>77</v>
      </c>
    </row>
    <row r="49" spans="1:10" ht="24.95" customHeight="1">
      <c r="B49" s="41"/>
      <c r="C49" s="41"/>
      <c r="D49" s="41"/>
      <c r="E49" s="41"/>
      <c r="F49" s="9"/>
      <c r="G49" s="23" t="s">
        <v>85</v>
      </c>
      <c r="H49" s="24">
        <v>0</v>
      </c>
      <c r="I49" s="24">
        <v>0</v>
      </c>
      <c r="J49" s="24">
        <f>Regalos224658708294106[[#This Row],[COSTO PREVISTO]]-Regalos224658708294106[[#This Row],[COSTO REAL ]]</f>
        <v>0</v>
      </c>
    </row>
    <row r="50" spans="1:10" ht="24.95" customHeight="1">
      <c r="A50" s="4" t="s">
        <v>11</v>
      </c>
      <c r="B50" s="21" t="s">
        <v>31</v>
      </c>
      <c r="C50" s="21" t="s">
        <v>76</v>
      </c>
      <c r="D50" s="21" t="s">
        <v>75</v>
      </c>
      <c r="E50" s="21" t="s">
        <v>77</v>
      </c>
      <c r="F50" s="9"/>
      <c r="G50" s="23" t="s">
        <v>84</v>
      </c>
      <c r="H50" s="24">
        <v>0</v>
      </c>
      <c r="I50" s="24">
        <v>0</v>
      </c>
      <c r="J50" s="24">
        <f>Regalos224658708294106[[#This Row],[COSTO PREVISTO]]-Regalos224658708294106[[#This Row],[COSTO REAL ]]</f>
        <v>0</v>
      </c>
    </row>
    <row r="51" spans="1:10" ht="24.95" customHeight="1">
      <c r="B51" s="23" t="s">
        <v>32</v>
      </c>
      <c r="C51" s="24">
        <v>0</v>
      </c>
      <c r="D51" s="24">
        <v>0</v>
      </c>
      <c r="E51" s="24">
        <f>Mascotas234759718395107[[#This Row],[COSTO PREVISTO]]-Mascotas234759718395107[[#This Row],[COSTO REAL]]</f>
        <v>0</v>
      </c>
      <c r="F51" s="9"/>
      <c r="G51" s="23" t="s">
        <v>63</v>
      </c>
      <c r="H51" s="24">
        <v>0</v>
      </c>
      <c r="I51" s="24">
        <v>0</v>
      </c>
      <c r="J51" s="24">
        <f>Regalos224658708294106[[#This Row],[COSTO PREVISTO]]-Regalos224658708294106[[#This Row],[COSTO REAL ]]</f>
        <v>0</v>
      </c>
    </row>
    <row r="52" spans="1:10" ht="24.95" customHeight="1">
      <c r="B52" s="23" t="s">
        <v>33</v>
      </c>
      <c r="C52" s="24">
        <v>0</v>
      </c>
      <c r="D52" s="24">
        <v>0</v>
      </c>
      <c r="E52" s="24">
        <f>Mascotas234759718395107[[#This Row],[COSTO PREVISTO]]-Mascotas234759718395107[[#This Row],[COSTO REAL]]</f>
        <v>0</v>
      </c>
      <c r="F52" s="9"/>
      <c r="G52" s="25" t="s">
        <v>19</v>
      </c>
      <c r="H52" s="27">
        <f>SUBTOTAL(109,Regalos224658708294106[COSTO PREVISTO])</f>
        <v>0</v>
      </c>
      <c r="I52" s="27" t="s">
        <v>66</v>
      </c>
      <c r="J52" s="26">
        <f>SUBTOTAL(109,Regalos224658708294106[DIFERENCIA])</f>
        <v>0</v>
      </c>
    </row>
    <row r="53" spans="1:10" ht="24.95" customHeight="1">
      <c r="B53" s="23" t="s">
        <v>34</v>
      </c>
      <c r="C53" s="24">
        <v>0</v>
      </c>
      <c r="D53" s="24">
        <v>0</v>
      </c>
      <c r="E53" s="24">
        <f>Mascotas234759718395107[[#This Row],[COSTO PREVISTO]]-Mascotas234759718395107[[#This Row],[COSTO REAL]]</f>
        <v>0</v>
      </c>
      <c r="F53" s="9"/>
      <c r="G53" s="41"/>
      <c r="H53" s="41"/>
      <c r="I53" s="41"/>
      <c r="J53" s="41"/>
    </row>
    <row r="54" spans="1:10" ht="24.95" customHeight="1">
      <c r="B54" s="23" t="s">
        <v>35</v>
      </c>
      <c r="C54" s="24">
        <v>0</v>
      </c>
      <c r="D54" s="24">
        <v>0</v>
      </c>
      <c r="E54" s="24">
        <f>Mascotas234759718395107[[#This Row],[COSTO PREVISTO]]-Mascotas234759718395107[[#This Row],[COSTO REAL]]</f>
        <v>0</v>
      </c>
      <c r="F54" s="9"/>
      <c r="G54" s="21" t="s">
        <v>59</v>
      </c>
      <c r="H54" s="21" t="s">
        <v>76</v>
      </c>
      <c r="I54" s="21" t="s">
        <v>75</v>
      </c>
      <c r="J54" s="21" t="s">
        <v>77</v>
      </c>
    </row>
    <row r="55" spans="1:10" ht="24.95" customHeight="1">
      <c r="B55" s="23" t="s">
        <v>18</v>
      </c>
      <c r="C55" s="24">
        <v>0</v>
      </c>
      <c r="D55" s="24">
        <v>0</v>
      </c>
      <c r="E55" s="24">
        <f>Mascotas234759718395107[[#This Row],[COSTO PREVISTO]]-Mascotas234759718395107[[#This Row],[COSTO REAL]]</f>
        <v>0</v>
      </c>
      <c r="F55" s="9"/>
      <c r="G55" s="23" t="s">
        <v>60</v>
      </c>
      <c r="H55" s="24">
        <v>0</v>
      </c>
      <c r="I55" s="24">
        <v>0</v>
      </c>
      <c r="J55" s="24">
        <f>Legal244860728496108[[#This Row],[COSTO PREVISTO]]-Legal244860728496108[[#This Row],[COSTO REAL]]</f>
        <v>0</v>
      </c>
    </row>
    <row r="56" spans="1:10" ht="24.95" customHeight="1">
      <c r="B56" s="25" t="s">
        <v>19</v>
      </c>
      <c r="C56" s="26">
        <f>SUBTOTAL(109,Mascotas234759718395107[COSTO PREVISTO])</f>
        <v>0</v>
      </c>
      <c r="D56" s="26">
        <f>SUBTOTAL(109,Mascotas234759718395107[COSTO REAL])</f>
        <v>0</v>
      </c>
      <c r="E56" s="26">
        <f>SUBTOTAL(109,Mascotas234759718395107[DIFERENCIA])</f>
        <v>0</v>
      </c>
      <c r="F56" s="9"/>
      <c r="G56" s="23" t="s">
        <v>86</v>
      </c>
      <c r="H56" s="24">
        <v>0</v>
      </c>
      <c r="I56" s="24">
        <v>0</v>
      </c>
      <c r="J56" s="24">
        <f>Legal244860728496108[[#This Row],[COSTO PREVISTO]]-Legal244860728496108[[#This Row],[COSTO REAL]]</f>
        <v>0</v>
      </c>
    </row>
    <row r="57" spans="1:10" ht="24.95" customHeight="1">
      <c r="B57" s="41"/>
      <c r="C57" s="41"/>
      <c r="D57" s="41"/>
      <c r="E57" s="41"/>
      <c r="F57" s="9"/>
      <c r="G57" s="23" t="s">
        <v>87</v>
      </c>
      <c r="H57" s="24">
        <v>0</v>
      </c>
      <c r="I57" s="24">
        <v>0</v>
      </c>
      <c r="J57" s="24">
        <f>Legal244860728496108[[#This Row],[COSTO PREVISTO]]-Legal244860728496108[[#This Row],[COSTO REAL]]</f>
        <v>0</v>
      </c>
    </row>
    <row r="58" spans="1:10" ht="24.95" customHeight="1">
      <c r="A58" s="4" t="s">
        <v>12</v>
      </c>
      <c r="B58" s="21" t="s">
        <v>36</v>
      </c>
      <c r="C58" s="21" t="s">
        <v>40</v>
      </c>
      <c r="D58" s="21" t="s">
        <v>42</v>
      </c>
      <c r="E58" s="21" t="s">
        <v>43</v>
      </c>
      <c r="F58" s="9"/>
      <c r="G58" s="23" t="s">
        <v>18</v>
      </c>
      <c r="H58" s="24">
        <v>0</v>
      </c>
      <c r="I58" s="24">
        <v>0</v>
      </c>
      <c r="J58" s="24">
        <f>Legal244860728496108[[#This Row],[COSTO PREVISTO]]-Legal244860728496108[[#This Row],[COSTO REAL]]</f>
        <v>0</v>
      </c>
    </row>
    <row r="59" spans="1:10" ht="24.95" customHeight="1">
      <c r="B59" s="23" t="s">
        <v>33</v>
      </c>
      <c r="C59" s="24">
        <v>0</v>
      </c>
      <c r="D59" s="24">
        <v>0</v>
      </c>
      <c r="E59" s="24">
        <f>CuidadoPersonal254961738597109[[#This Row],[Costo previsto]]-CuidadoPersonal254961738597109[[#This Row],[Coste real]]</f>
        <v>0</v>
      </c>
      <c r="F59" s="9"/>
      <c r="G59" s="25" t="s">
        <v>19</v>
      </c>
      <c r="H59" s="27" t="s">
        <v>66</v>
      </c>
      <c r="I59" s="27" t="s">
        <v>66</v>
      </c>
      <c r="J59" s="26">
        <f>SUBTOTAL(109,Legal244860728496108[DIFERENCIA])</f>
        <v>0</v>
      </c>
    </row>
    <row r="60" spans="1:10" ht="24.95" customHeight="1">
      <c r="B60" s="23" t="s">
        <v>95</v>
      </c>
      <c r="C60" s="24">
        <v>0</v>
      </c>
      <c r="D60" s="24">
        <v>0</v>
      </c>
      <c r="E60" s="24">
        <f>CuidadoPersonal254961738597109[[#This Row],[Costo previsto]]-CuidadoPersonal254961738597109[[#This Row],[Coste real]]</f>
        <v>0</v>
      </c>
      <c r="F60" s="9"/>
      <c r="G60" s="41"/>
      <c r="H60" s="41"/>
      <c r="I60" s="41"/>
      <c r="J60" s="41"/>
    </row>
    <row r="61" spans="1:10" ht="24.95" customHeight="1">
      <c r="A61" s="4" t="s">
        <v>13</v>
      </c>
      <c r="B61" s="23" t="s">
        <v>37</v>
      </c>
      <c r="C61" s="24">
        <v>0</v>
      </c>
      <c r="D61" s="24">
        <v>0</v>
      </c>
      <c r="E61" s="24">
        <f>CuidadoPersonal254961738597109[[#This Row],[Costo previsto]]-CuidadoPersonal254961738597109[[#This Row],[Coste real]]</f>
        <v>0</v>
      </c>
      <c r="F61" s="9"/>
      <c r="G61" s="35" t="s">
        <v>89</v>
      </c>
      <c r="H61" s="35"/>
      <c r="I61" s="35"/>
      <c r="J61" s="40">
        <f>SUBTOTAL(109,Alojamiento14385062748698[COSTO PREVISTO],Transporte174153657789101[Costo previsto],Seguro184254667890102[COSTO PREVISTO],Comida214557698193105[COSTO PREVISTO],Mascotas234759718395107[COSTO PREVISTO],CuidadoPersonal254961738597109[Costo previsto],Entretenimiento15395163758799[COSTO PREVISTO],Prestamos164052647688100[COSTO PREVISTO],Impuestos194355677991103[COSTO PREVISTO],Ahorros204456688092104[COSTO PREVISTO],Regalos224658708294106[COSTO PREVISTO],Legal244860728496108[COSTO PREVISTO])</f>
        <v>0</v>
      </c>
    </row>
    <row r="62" spans="1:10" ht="24.95" customHeight="1">
      <c r="B62" s="23" t="s">
        <v>38</v>
      </c>
      <c r="C62" s="24">
        <v>0</v>
      </c>
      <c r="D62" s="24">
        <v>0</v>
      </c>
      <c r="E62" s="24">
        <f>CuidadoPersonal254961738597109[[#This Row],[Costo previsto]]-CuidadoPersonal254961738597109[[#This Row],[Coste real]]</f>
        <v>0</v>
      </c>
      <c r="F62" s="9"/>
      <c r="G62" s="35"/>
      <c r="H62" s="35"/>
      <c r="I62" s="35"/>
      <c r="J62" s="40"/>
    </row>
    <row r="63" spans="1:10" ht="24.95" customHeight="1">
      <c r="B63" s="23" t="s">
        <v>39</v>
      </c>
      <c r="C63" s="24">
        <v>0</v>
      </c>
      <c r="D63" s="24">
        <v>0</v>
      </c>
      <c r="E63" s="24">
        <f>CuidadoPersonal254961738597109[[#This Row],[Costo previsto]]-CuidadoPersonal254961738597109[[#This Row],[Coste real]]</f>
        <v>0</v>
      </c>
      <c r="F63" s="9"/>
      <c r="G63" s="35" t="s">
        <v>90</v>
      </c>
      <c r="H63" s="35"/>
      <c r="I63" s="35"/>
      <c r="J63" s="40">
        <f>SUBTOTAL(109,Alojamiento14385062748698[COSTO REAL],Transporte174153657789101[Costo real],Seguro184254667890102[COSTO REAL],Comida214557698193105[COSTO REAL],Mascotas234759718395107[COSTO REAL],CuidadoPersonal254961738597109[Coste real],Entretenimiento15395163758799[COSTO REAL],Prestamos164052647688100[COSTO REAL],Impuestos194355677991103[COSTO REAL],Ahorros204456688092104[COSTO REAL],Regalos224658708294106[[COSTO REAL ]],Legal244860728496108[COSTO REAL])</f>
        <v>0</v>
      </c>
    </row>
    <row r="64" spans="1:10" ht="24.95" customHeight="1">
      <c r="B64" s="23" t="s">
        <v>88</v>
      </c>
      <c r="C64" s="24">
        <v>0</v>
      </c>
      <c r="D64" s="24">
        <v>0</v>
      </c>
      <c r="E64" s="24">
        <f>CuidadoPersonal254961738597109[[#This Row],[Costo previsto]]-CuidadoPersonal254961738597109[[#This Row],[Coste real]]</f>
        <v>0</v>
      </c>
      <c r="F64" s="9"/>
      <c r="G64" s="35"/>
      <c r="H64" s="35"/>
      <c r="I64" s="35"/>
      <c r="J64" s="40"/>
    </row>
    <row r="65" spans="2:10" ht="24.95" customHeight="1">
      <c r="B65" s="23" t="s">
        <v>18</v>
      </c>
      <c r="C65" s="24">
        <v>0</v>
      </c>
      <c r="D65" s="24">
        <v>0</v>
      </c>
      <c r="E65" s="24">
        <f>CuidadoPersonal254961738597109[[#This Row],[Costo previsto]]-CuidadoPersonal254961738597109[[#This Row],[Coste real]]</f>
        <v>0</v>
      </c>
      <c r="F65" s="9"/>
      <c r="G65" s="35" t="s">
        <v>91</v>
      </c>
      <c r="H65" s="35"/>
      <c r="I65" s="35"/>
      <c r="J65" s="40">
        <f>J61-J63</f>
        <v>0</v>
      </c>
    </row>
    <row r="66" spans="2:10" ht="24.95" customHeight="1">
      <c r="B66" s="25" t="s">
        <v>19</v>
      </c>
      <c r="C66" s="26">
        <f>SUBTOTAL(109,CuidadoPersonal254961738597109[Costo previsto])</f>
        <v>0</v>
      </c>
      <c r="D66" s="26">
        <f>SUBTOTAL(109,CuidadoPersonal254961738597109[Coste real])</f>
        <v>0</v>
      </c>
      <c r="E66" s="26">
        <f>SUBTOTAL(109,CuidadoPersonal254961738597109[Diferencia])</f>
        <v>0</v>
      </c>
      <c r="F66" s="9"/>
      <c r="G66" s="35"/>
      <c r="H66" s="35"/>
      <c r="I66" s="35"/>
      <c r="J66" s="40"/>
    </row>
    <row r="67" spans="2:10">
      <c r="B67" s="42"/>
      <c r="C67" s="42"/>
      <c r="D67" s="42"/>
      <c r="E67" s="42"/>
    </row>
  </sheetData>
  <mergeCells count="26">
    <mergeCell ref="G63:I64"/>
    <mergeCell ref="J63:J64"/>
    <mergeCell ref="G65:I66"/>
    <mergeCell ref="J65:J66"/>
    <mergeCell ref="B67:E67"/>
    <mergeCell ref="G61:I62"/>
    <mergeCell ref="J61:J62"/>
    <mergeCell ref="G25:J25"/>
    <mergeCell ref="B26:E26"/>
    <mergeCell ref="G34:J34"/>
    <mergeCell ref="B36:E36"/>
    <mergeCell ref="G41:J41"/>
    <mergeCell ref="B43:E43"/>
    <mergeCell ref="G47:J47"/>
    <mergeCell ref="B49:E49"/>
    <mergeCell ref="G53:J53"/>
    <mergeCell ref="B57:E57"/>
    <mergeCell ref="G60:J60"/>
    <mergeCell ref="E8:G9"/>
    <mergeCell ref="H8:H9"/>
    <mergeCell ref="B9:C9"/>
    <mergeCell ref="B4:C4"/>
    <mergeCell ref="E4:G5"/>
    <mergeCell ref="H4:H5"/>
    <mergeCell ref="E6:G7"/>
    <mergeCell ref="H6:H7"/>
  </mergeCells>
  <dataValidations count="12">
    <dataValidation allowBlank="1" showInputMessage="1" showErrorMessage="1" prompt="El total de gastos previstos se calcula automáticamente en la celda J61; el total del gasto real, en la J63; y la diferencia total, en la celda J65." sqref="A61"/>
    <dataValidation allowBlank="1" showInputMessage="1" showErrorMessage="1" prompt="Escriba la información en la tabla Cuidado personal, empezando por la celda de la derecha y en la tabla Legal, empezando por la celda G54. La instrucción siguiente se encuentra en la celda A61." sqref="A58"/>
    <dataValidation allowBlank="1" showInputMessage="1" showErrorMessage="1" prompt="Escriba la información en la tabla Mascotas, empezando por la celda de la derecha y en la tabla Regalos, empezando por la celda G48. La instrucción siguiente se encuentra en la celda A58." sqref="A50"/>
    <dataValidation allowBlank="1" showInputMessage="1" showErrorMessage="1" prompt="Escriba la información en la tabla Comida, empezando por la celda de la derecha y en la tabla Ahorros, empezando por la celda G42. La instrucción siguiente se encuentra en la celda A50." sqref="A44"/>
    <dataValidation allowBlank="1" showInputMessage="1" showErrorMessage="1" prompt="Escriba la información en la tabla Seguro, empezando por la celda de la derecha y en la tabla Impuestos, empezando por la celda G35. La instrucción siguiente se encuentra en la celda A44." sqref="A37"/>
    <dataValidation allowBlank="1" showInputMessage="1" showErrorMessage="1" prompt="Escriba la información en la tabla Transporte, empezando por la celda de la derecha y en la tabla Préstamos, empezando por la celda G26. La instrucción siguiente se encuentra en la celda A37." sqref="A27"/>
    <dataValidation allowBlank="1" showInputMessage="1" showErrorMessage="1" prompt="Escriba la información en la tabla Alojamiento, empezando por la celda de la derecha y en la tabla Entretenimiento, empezando por la celda G14. La instrucción siguiente se encuentra en la celda A27." sqref="A14"/>
    <dataValidation allowBlank="1" showInputMessage="1" showErrorMessage="1" prompt="La etiqueta Ingresos mensuales reales está en la celda de la derecha. Escriba el Ingreso 1 en la celda C10 y el Ingreso adicional en la C11 para calcular el total de ingresos mensuales en la celda C12. La instrucción siguiente está en la celda A14." sqref="A9"/>
    <dataValidation allowBlank="1" showInputMessage="1" showErrorMessage="1" prompt="El saldo previsto se calcula automáticamente en la celda H4; el saldo real, en la H6; y la diferencia, en la celda H8. La instrucción siguiente se encuentra en la celda A9." sqref="A7"/>
    <dataValidation allowBlank="1" showInputMessage="1" showErrorMessage="1" prompt="La etiqueta Ingresos mensuales previstos está en la celda de la derecha. Escriba el Ingreso 1 en la celda C5 y el Ingreso adicional en la C6 para calcular el total de ingresos mensuales en la celda C7. La instrucción siguiente se encuentra en la celda A7." sqref="A4"/>
    <dataValidation allowBlank="1" showInputMessage="1" showErrorMessage="1" prompt="El título de esta hoja de cálculo está en la celda C2. La instrucción siguiente se encuentra en la celda A4." sqref="A2"/>
    <dataValidation allowBlank="1" showInputMessage="1" showErrorMessage="1" prompt="Cree un presupuesto mensual personal en esta hoja de cálculo. Encontrará instrucciones útiles sobre cómo usar este libro en las celdas de esta columna. Use la flecha hacia abajo para empezar." sqref="A1"/>
  </dataValidations>
  <pageMargins left="0.7" right="0.7" top="0.75" bottom="0.75" header="0.3" footer="0.3"/>
  <pageSetup paperSize="9" orientation="portrait" r:id="rId1"/>
  <drawing r:id="rId2"/>
  <tableParts count="12">
    <tablePart r:id="rId3"/>
    <tablePart r:id="rId4"/>
    <tablePart r:id="rId5"/>
    <tablePart r:id="rId6"/>
    <tablePart r:id="rId7"/>
    <tablePart r:id="rId8"/>
    <tablePart r:id="rId9"/>
    <tablePart r:id="rId10"/>
    <tablePart r:id="rId11"/>
    <tablePart r:id="rId12"/>
    <tablePart r:id="rId13"/>
    <tablePart r:id="rId14"/>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O67"/>
  <sheetViews>
    <sheetView zoomScale="70" zoomScaleNormal="70" workbookViewId="0">
      <selection activeCell="I70" sqref="I70"/>
    </sheetView>
  </sheetViews>
  <sheetFormatPr baseColWidth="10" defaultColWidth="9" defaultRowHeight="12.75"/>
  <cols>
    <col min="1" max="1" width="2.625" style="4" customWidth="1"/>
    <col min="2" max="2" width="34.875" customWidth="1"/>
    <col min="3" max="3" width="20.875" customWidth="1"/>
    <col min="4" max="4" width="17.625" customWidth="1"/>
    <col min="5" max="5" width="16" customWidth="1"/>
    <col min="6" max="6" width="2.625" customWidth="1"/>
    <col min="7" max="7" width="34.875" customWidth="1"/>
    <col min="8" max="8" width="19.625" customWidth="1"/>
    <col min="9" max="9" width="16.25" customWidth="1"/>
    <col min="10" max="10" width="17.625" customWidth="1"/>
    <col min="11" max="11" width="2.625" customWidth="1"/>
  </cols>
  <sheetData>
    <row r="1" spans="1:15" s="1" customFormat="1" ht="14.25">
      <c r="A1" s="3" t="s">
        <v>2</v>
      </c>
    </row>
    <row r="2" spans="1:15" s="1" customFormat="1" ht="71.25" customHeight="1">
      <c r="A2" s="10" t="s">
        <v>3</v>
      </c>
      <c r="B2" s="12"/>
      <c r="C2" s="13"/>
      <c r="D2" s="14"/>
      <c r="E2" s="14"/>
      <c r="F2" s="14"/>
      <c r="G2" s="14"/>
      <c r="H2" s="14"/>
      <c r="I2" s="15"/>
      <c r="J2" s="15"/>
      <c r="K2" s="12"/>
    </row>
    <row r="3" spans="1:15">
      <c r="B3" s="16"/>
      <c r="C3" s="16"/>
      <c r="D3" s="16"/>
      <c r="E3" s="16"/>
      <c r="F3" s="16"/>
      <c r="G3" s="16"/>
      <c r="H3" s="16"/>
      <c r="I3" s="16"/>
      <c r="J3" s="16"/>
      <c r="K3" s="16"/>
    </row>
    <row r="4" spans="1:15" ht="24.95" customHeight="1">
      <c r="A4" s="4" t="s">
        <v>4</v>
      </c>
      <c r="B4" s="37" t="s">
        <v>67</v>
      </c>
      <c r="C4" s="39"/>
      <c r="D4" s="6"/>
      <c r="E4" s="35" t="s">
        <v>92</v>
      </c>
      <c r="F4" s="35"/>
      <c r="G4" s="35"/>
      <c r="H4" s="36">
        <f>C7-J61</f>
        <v>0</v>
      </c>
    </row>
    <row r="5" spans="1:15" ht="24.95" customHeight="1">
      <c r="B5" s="17" t="s">
        <v>14</v>
      </c>
      <c r="C5" s="18">
        <v>0</v>
      </c>
      <c r="E5" s="35"/>
      <c r="F5" s="35"/>
      <c r="G5" s="35"/>
      <c r="H5" s="36"/>
      <c r="I5" s="7"/>
    </row>
    <row r="6" spans="1:15" ht="24.95" customHeight="1">
      <c r="B6" s="17" t="s">
        <v>69</v>
      </c>
      <c r="C6" s="18">
        <v>0</v>
      </c>
      <c r="E6" s="35" t="s">
        <v>93</v>
      </c>
      <c r="F6" s="35"/>
      <c r="G6" s="35"/>
      <c r="H6" s="36">
        <f>C12-J63</f>
        <v>0</v>
      </c>
      <c r="I6" s="7"/>
    </row>
    <row r="7" spans="1:15" ht="24.95" customHeight="1">
      <c r="A7" s="4" t="s">
        <v>5</v>
      </c>
      <c r="B7" s="17" t="s">
        <v>70</v>
      </c>
      <c r="C7" s="20">
        <f>SUM(C5:C6)</f>
        <v>0</v>
      </c>
      <c r="E7" s="35"/>
      <c r="F7" s="35"/>
      <c r="G7" s="35"/>
      <c r="H7" s="36"/>
      <c r="I7" s="7"/>
    </row>
    <row r="8" spans="1:15" ht="24.95" customHeight="1">
      <c r="B8" s="2"/>
      <c r="C8" s="2"/>
      <c r="D8" s="2"/>
      <c r="E8" s="35" t="s">
        <v>94</v>
      </c>
      <c r="F8" s="35"/>
      <c r="G8" s="35"/>
      <c r="H8" s="36">
        <f>H6-H4</f>
        <v>0</v>
      </c>
      <c r="I8" s="7"/>
    </row>
    <row r="9" spans="1:15" ht="24.95" customHeight="1">
      <c r="A9" s="4" t="s">
        <v>6</v>
      </c>
      <c r="B9" s="37" t="s">
        <v>68</v>
      </c>
      <c r="C9" s="38"/>
      <c r="D9" s="6"/>
      <c r="E9" s="35"/>
      <c r="F9" s="35"/>
      <c r="G9" s="35"/>
      <c r="H9" s="36"/>
      <c r="I9" s="8"/>
    </row>
    <row r="10" spans="1:15" ht="24.95" customHeight="1">
      <c r="B10" s="17" t="s">
        <v>99</v>
      </c>
      <c r="C10" s="18">
        <v>0</v>
      </c>
      <c r="I10" s="7"/>
    </row>
    <row r="11" spans="1:15" ht="24.95" customHeight="1">
      <c r="B11" s="17" t="s">
        <v>69</v>
      </c>
      <c r="C11" s="18">
        <v>0</v>
      </c>
      <c r="E11" s="7"/>
      <c r="H11" s="11"/>
      <c r="I11" s="11"/>
    </row>
    <row r="12" spans="1:15" ht="24.95" customHeight="1">
      <c r="B12" s="19" t="s">
        <v>70</v>
      </c>
      <c r="C12" s="20">
        <f>SUM(C10:C11)</f>
        <v>0</v>
      </c>
    </row>
    <row r="14" spans="1:15" ht="24.95" customHeight="1">
      <c r="A14" s="4" t="s">
        <v>7</v>
      </c>
      <c r="B14" s="21" t="s">
        <v>74</v>
      </c>
      <c r="C14" s="21" t="s">
        <v>76</v>
      </c>
      <c r="D14" s="21" t="s">
        <v>75</v>
      </c>
      <c r="E14" s="21" t="s">
        <v>77</v>
      </c>
      <c r="F14" s="9"/>
      <c r="G14" s="21" t="s">
        <v>44</v>
      </c>
      <c r="H14" s="21" t="s">
        <v>76</v>
      </c>
      <c r="I14" s="21" t="s">
        <v>75</v>
      </c>
      <c r="J14" s="21" t="s">
        <v>77</v>
      </c>
      <c r="O14" s="22"/>
    </row>
    <row r="15" spans="1:15" ht="25.5" customHeight="1">
      <c r="B15" s="23" t="s">
        <v>78</v>
      </c>
      <c r="C15" s="24">
        <v>0</v>
      </c>
      <c r="D15" s="24">
        <v>0</v>
      </c>
      <c r="E15" s="24">
        <f>Alojamiento14385062748698110[[#This Row],[COSTO PREVISTO]]-Alojamiento14385062748698110[[#This Row],[COSTO REAL]]</f>
        <v>0</v>
      </c>
      <c r="F15" s="9"/>
      <c r="G15" s="23" t="s">
        <v>45</v>
      </c>
      <c r="H15" s="24">
        <v>0</v>
      </c>
      <c r="I15" s="24">
        <v>0</v>
      </c>
      <c r="J15" s="24">
        <f>Entretenimiento15395163758799111[[#This Row],[COSTO PREVISTO]]-Entretenimiento15395163758799111[[#This Row],[COSTO REAL]]</f>
        <v>0</v>
      </c>
    </row>
    <row r="16" spans="1:15" ht="24.95" customHeight="1">
      <c r="B16" s="23" t="s">
        <v>61</v>
      </c>
      <c r="C16" s="24">
        <v>0</v>
      </c>
      <c r="D16" s="24">
        <v>0</v>
      </c>
      <c r="E16" s="24">
        <f>Alojamiento14385062748698110[[#This Row],[COSTO PREVISTO]]-Alojamiento14385062748698110[[#This Row],[COSTO REAL]]</f>
        <v>0</v>
      </c>
      <c r="F16" s="9"/>
      <c r="G16" s="23" t="s">
        <v>46</v>
      </c>
      <c r="H16" s="24">
        <v>0</v>
      </c>
      <c r="I16" s="24">
        <v>0</v>
      </c>
      <c r="J16" s="24">
        <f>Entretenimiento15395163758799111[[#This Row],[COSTO PREVISTO]]-Entretenimiento15395163758799111[[#This Row],[COSTO REAL]]</f>
        <v>0</v>
      </c>
    </row>
    <row r="17" spans="1:10" ht="24.95" customHeight="1">
      <c r="B17" s="23" t="s">
        <v>15</v>
      </c>
      <c r="C17" s="24">
        <v>0</v>
      </c>
      <c r="D17" s="24">
        <v>0</v>
      </c>
      <c r="E17" s="24">
        <f>Alojamiento14385062748698110[[#This Row],[COSTO PREVISTO]]-Alojamiento14385062748698110[[#This Row],[COSTO REAL]]</f>
        <v>0</v>
      </c>
      <c r="F17" s="9"/>
      <c r="G17" s="23" t="s">
        <v>47</v>
      </c>
      <c r="H17" s="24">
        <v>0</v>
      </c>
      <c r="I17" s="24">
        <v>0</v>
      </c>
      <c r="J17" s="24">
        <f>Entretenimiento15395163758799111[[#This Row],[COSTO PREVISTO]]-Entretenimiento15395163758799111[[#This Row],[COSTO REAL]]</f>
        <v>0</v>
      </c>
    </row>
    <row r="18" spans="1:10" ht="24.95" customHeight="1">
      <c r="B18" s="23" t="s">
        <v>16</v>
      </c>
      <c r="C18" s="24">
        <v>0</v>
      </c>
      <c r="D18" s="24">
        <v>0</v>
      </c>
      <c r="E18" s="24">
        <f>Alojamiento14385062748698110[[#This Row],[COSTO PREVISTO]]-Alojamiento14385062748698110[[#This Row],[COSTO REAL]]</f>
        <v>0</v>
      </c>
      <c r="F18" s="9"/>
      <c r="G18" s="23" t="s">
        <v>48</v>
      </c>
      <c r="H18" s="24">
        <v>0</v>
      </c>
      <c r="I18" s="24">
        <v>0</v>
      </c>
      <c r="J18" s="24">
        <f>Entretenimiento15395163758799111[[#This Row],[COSTO PREVISTO]]-Entretenimiento15395163758799111[[#This Row],[COSTO REAL]]</f>
        <v>0</v>
      </c>
    </row>
    <row r="19" spans="1:10" ht="24.95" customHeight="1">
      <c r="B19" s="23" t="s">
        <v>71</v>
      </c>
      <c r="C19" s="24">
        <v>0</v>
      </c>
      <c r="D19" s="24">
        <v>0</v>
      </c>
      <c r="E19" s="24">
        <f>Alojamiento14385062748698110[[#This Row],[COSTO PREVISTO]]-Alojamiento14385062748698110[[#This Row],[COSTO REAL]]</f>
        <v>0</v>
      </c>
      <c r="F19" s="9"/>
      <c r="G19" s="23" t="s">
        <v>82</v>
      </c>
      <c r="H19" s="24">
        <v>0</v>
      </c>
      <c r="I19" s="24">
        <v>0</v>
      </c>
      <c r="J19" s="24">
        <f>Entretenimiento15395163758799111[[#This Row],[COSTO PREVISTO]]-Entretenimiento15395163758799111[[#This Row],[COSTO REAL]]</f>
        <v>0</v>
      </c>
    </row>
    <row r="20" spans="1:10" ht="24.95" customHeight="1">
      <c r="B20" s="23" t="s">
        <v>72</v>
      </c>
      <c r="C20" s="24">
        <v>0</v>
      </c>
      <c r="D20" s="24">
        <v>0</v>
      </c>
      <c r="E20" s="24">
        <f>Alojamiento14385062748698110[[#This Row],[COSTO PREVISTO]]-Alojamiento14385062748698110[[#This Row],[COSTO REAL]]</f>
        <v>0</v>
      </c>
      <c r="F20" s="9"/>
      <c r="G20" s="23" t="s">
        <v>49</v>
      </c>
      <c r="H20" s="24">
        <v>0</v>
      </c>
      <c r="I20" s="24">
        <v>0</v>
      </c>
      <c r="J20" s="24">
        <f>Entretenimiento15395163758799111[[#This Row],[COSTO PREVISTO]]-Entretenimiento15395163758799111[[#This Row],[COSTO REAL]]</f>
        <v>0</v>
      </c>
    </row>
    <row r="21" spans="1:10" ht="24.95" customHeight="1">
      <c r="B21" s="23" t="s">
        <v>81</v>
      </c>
      <c r="C21" s="24">
        <v>0</v>
      </c>
      <c r="D21" s="24">
        <v>0</v>
      </c>
      <c r="E21" s="24">
        <f>Alojamiento14385062748698110[[#This Row],[COSTO PREVISTO]]-Alojamiento14385062748698110[[#This Row],[COSTO REAL]]</f>
        <v>0</v>
      </c>
      <c r="F21" s="9"/>
      <c r="G21" s="23" t="s">
        <v>18</v>
      </c>
      <c r="H21" s="24">
        <v>0</v>
      </c>
      <c r="I21" s="24">
        <v>0</v>
      </c>
      <c r="J21" s="24">
        <f>Entretenimiento15395163758799111[[#This Row],[COSTO PREVISTO]]-Entretenimiento15395163758799111[[#This Row],[COSTO REAL]]</f>
        <v>0</v>
      </c>
    </row>
    <row r="22" spans="1:10" ht="24.95" customHeight="1">
      <c r="B22" s="23" t="s">
        <v>73</v>
      </c>
      <c r="C22" s="24">
        <v>0</v>
      </c>
      <c r="D22" s="24">
        <v>0</v>
      </c>
      <c r="E22" s="24">
        <f>Alojamiento14385062748698110[[#This Row],[COSTO PREVISTO]]-Alojamiento14385062748698110[[#This Row],[COSTO REAL]]</f>
        <v>0</v>
      </c>
      <c r="F22" s="9"/>
      <c r="G22" s="23" t="s">
        <v>18</v>
      </c>
      <c r="H22" s="24">
        <v>0</v>
      </c>
      <c r="I22" s="24">
        <v>0</v>
      </c>
      <c r="J22" s="24">
        <f>Entretenimiento15395163758799111[[#This Row],[COSTO PREVISTO]]-Entretenimiento15395163758799111[[#This Row],[COSTO REAL]]</f>
        <v>0</v>
      </c>
    </row>
    <row r="23" spans="1:10" ht="24.95" customHeight="1">
      <c r="B23" s="23" t="s">
        <v>17</v>
      </c>
      <c r="C23" s="24">
        <v>0</v>
      </c>
      <c r="D23" s="24">
        <v>0</v>
      </c>
      <c r="E23" s="24">
        <f>Alojamiento14385062748698110[[#This Row],[COSTO PREVISTO]]-Alojamiento14385062748698110[[#This Row],[COSTO REAL]]</f>
        <v>0</v>
      </c>
      <c r="F23" s="9"/>
      <c r="G23" s="23" t="s">
        <v>18</v>
      </c>
      <c r="H23" s="24">
        <v>0</v>
      </c>
      <c r="I23" s="24">
        <v>0</v>
      </c>
      <c r="J23" s="24">
        <f>Entretenimiento15395163758799111[[#This Row],[COSTO PREVISTO]]-Entretenimiento15395163758799111[[#This Row],[COSTO REAL]]</f>
        <v>0</v>
      </c>
    </row>
    <row r="24" spans="1:10" ht="24.95" customHeight="1">
      <c r="B24" s="23" t="s">
        <v>18</v>
      </c>
      <c r="C24" s="24">
        <v>0</v>
      </c>
      <c r="D24" s="24">
        <v>0</v>
      </c>
      <c r="E24" s="24">
        <f>Alojamiento14385062748698110[[#This Row],[COSTO PREVISTO]]-Alojamiento14385062748698110[[#This Row],[COSTO REAL]]</f>
        <v>0</v>
      </c>
      <c r="F24" s="9"/>
      <c r="G24" s="25" t="s">
        <v>19</v>
      </c>
      <c r="H24" s="27" t="s">
        <v>66</v>
      </c>
      <c r="I24" s="27" t="s">
        <v>66</v>
      </c>
      <c r="J24" s="26">
        <f>SUBTOTAL(109,Entretenimiento15395163758799111[DIFERENCIA])</f>
        <v>0</v>
      </c>
    </row>
    <row r="25" spans="1:10" ht="24.95" customHeight="1">
      <c r="B25" s="25" t="s">
        <v>19</v>
      </c>
      <c r="C25" s="26">
        <f>SUBTOTAL(109,Alojamiento14385062748698110[COSTO PREVISTO])</f>
        <v>0</v>
      </c>
      <c r="D25" s="26">
        <f>SUBTOTAL(109,Alojamiento14385062748698110[COSTO REAL])</f>
        <v>0</v>
      </c>
      <c r="E25" s="26">
        <f>SUBTOTAL(109,Alojamiento14385062748698110[DIFERENCIA])</f>
        <v>0</v>
      </c>
      <c r="F25" s="9"/>
      <c r="G25" s="41"/>
      <c r="H25" s="41"/>
      <c r="I25" s="41"/>
      <c r="J25" s="41"/>
    </row>
    <row r="26" spans="1:10" ht="24.95" customHeight="1">
      <c r="B26" s="41"/>
      <c r="C26" s="41"/>
      <c r="D26" s="41"/>
      <c r="E26" s="41"/>
      <c r="F26" s="9"/>
      <c r="G26" s="21" t="s">
        <v>50</v>
      </c>
      <c r="H26" s="21" t="s">
        <v>76</v>
      </c>
      <c r="I26" s="21" t="s">
        <v>75</v>
      </c>
      <c r="J26" s="21" t="s">
        <v>77</v>
      </c>
    </row>
    <row r="27" spans="1:10" ht="24.95" customHeight="1">
      <c r="A27" s="4" t="s">
        <v>8</v>
      </c>
      <c r="B27" s="21" t="s">
        <v>20</v>
      </c>
      <c r="C27" s="21" t="s">
        <v>40</v>
      </c>
      <c r="D27" s="21" t="s">
        <v>41</v>
      </c>
      <c r="E27" s="21" t="s">
        <v>43</v>
      </c>
      <c r="F27" s="9"/>
      <c r="G27" s="23" t="s">
        <v>51</v>
      </c>
      <c r="H27" s="24">
        <v>0</v>
      </c>
      <c r="I27" s="24">
        <v>0</v>
      </c>
      <c r="J27" s="24">
        <f>Prestamos164052647688100112[[#This Row],[COSTO PREVISTO]]-Prestamos164052647688100112[[#This Row],[COSTO REAL]]</f>
        <v>0</v>
      </c>
    </row>
    <row r="28" spans="1:10" ht="24.95" customHeight="1">
      <c r="B28" s="23" t="s">
        <v>62</v>
      </c>
      <c r="C28" s="24">
        <v>0</v>
      </c>
      <c r="D28" s="24">
        <v>0</v>
      </c>
      <c r="E28" s="24">
        <f>Transporte174153657789101113[[#This Row],[Costo previsto]]-Transporte174153657789101113[[#This Row],[Costo real]]</f>
        <v>0</v>
      </c>
      <c r="F28" s="9"/>
      <c r="G28" s="23" t="s">
        <v>52</v>
      </c>
      <c r="H28" s="24">
        <v>0</v>
      </c>
      <c r="I28" s="24">
        <v>0</v>
      </c>
      <c r="J28" s="24">
        <f>Prestamos164052647688100112[[#This Row],[COSTO PREVISTO]]-Prestamos164052647688100112[[#This Row],[COSTO REAL]]</f>
        <v>0</v>
      </c>
    </row>
    <row r="29" spans="1:10" ht="24.95" customHeight="1">
      <c r="B29" s="23" t="s">
        <v>83</v>
      </c>
      <c r="C29" s="24">
        <v>0</v>
      </c>
      <c r="D29" s="24">
        <v>0</v>
      </c>
      <c r="E29" s="24">
        <f>Transporte174153657789101113[[#This Row],[Costo previsto]]-Transporte174153657789101113[[#This Row],[Costo real]]</f>
        <v>0</v>
      </c>
      <c r="F29" s="9"/>
      <c r="G29" s="23" t="s">
        <v>53</v>
      </c>
      <c r="H29" s="24">
        <v>0</v>
      </c>
      <c r="I29" s="24">
        <v>0</v>
      </c>
      <c r="J29" s="24">
        <f>Prestamos164052647688100112[[#This Row],[COSTO PREVISTO]]-Prestamos164052647688100112[[#This Row],[COSTO REAL]]</f>
        <v>0</v>
      </c>
    </row>
    <row r="30" spans="1:10" ht="24.95" customHeight="1">
      <c r="B30" s="23" t="s">
        <v>21</v>
      </c>
      <c r="C30" s="24">
        <v>0</v>
      </c>
      <c r="D30" s="24">
        <v>0</v>
      </c>
      <c r="E30" s="24">
        <f>Transporte174153657789101113[[#This Row],[Costo previsto]]-Transporte174153657789101113[[#This Row],[Costo real]]</f>
        <v>0</v>
      </c>
      <c r="F30" s="9"/>
      <c r="G30" s="23" t="s">
        <v>53</v>
      </c>
      <c r="H30" s="24">
        <v>0</v>
      </c>
      <c r="I30" s="24">
        <v>0</v>
      </c>
      <c r="J30" s="24">
        <f>Prestamos164052647688100112[[#This Row],[COSTO PREVISTO]]-Prestamos164052647688100112[[#This Row],[COSTO REAL]]</f>
        <v>0</v>
      </c>
    </row>
    <row r="31" spans="1:10" ht="24.95" customHeight="1">
      <c r="B31" s="23" t="s">
        <v>22</v>
      </c>
      <c r="C31" s="24">
        <v>0</v>
      </c>
      <c r="D31" s="24">
        <v>0</v>
      </c>
      <c r="E31" s="24">
        <f>Transporte174153657789101113[[#This Row],[Costo previsto]]-Transporte174153657789101113[[#This Row],[Costo real]]</f>
        <v>0</v>
      </c>
      <c r="F31" s="9"/>
      <c r="G31" s="23" t="s">
        <v>53</v>
      </c>
      <c r="H31" s="24">
        <v>0</v>
      </c>
      <c r="I31" s="24">
        <v>0</v>
      </c>
      <c r="J31" s="24">
        <f>Prestamos164052647688100112[[#This Row],[COSTO PREVISTO]]-Prestamos164052647688100112[[#This Row],[COSTO REAL]]</f>
        <v>0</v>
      </c>
    </row>
    <row r="32" spans="1:10" ht="24.95" customHeight="1">
      <c r="B32" s="23" t="s">
        <v>23</v>
      </c>
      <c r="C32" s="24">
        <v>0</v>
      </c>
      <c r="D32" s="24">
        <v>0</v>
      </c>
      <c r="E32" s="24">
        <f>Transporte174153657789101113[[#This Row],[Costo previsto]]-Transporte174153657789101113[[#This Row],[Costo real]]</f>
        <v>0</v>
      </c>
      <c r="F32" s="9"/>
      <c r="G32" s="23" t="s">
        <v>18</v>
      </c>
      <c r="H32" s="24">
        <v>0</v>
      </c>
      <c r="I32" s="24">
        <v>0</v>
      </c>
      <c r="J32" s="24">
        <f>Prestamos164052647688100112[[#This Row],[COSTO PREVISTO]]-Prestamos164052647688100112[[#This Row],[COSTO REAL]]</f>
        <v>0</v>
      </c>
    </row>
    <row r="33" spans="1:10" ht="24.95" customHeight="1">
      <c r="B33" s="23" t="s">
        <v>24</v>
      </c>
      <c r="C33" s="24">
        <v>0</v>
      </c>
      <c r="D33" s="24">
        <v>0</v>
      </c>
      <c r="E33" s="24">
        <f>Transporte174153657789101113[[#This Row],[Costo previsto]]-Transporte174153657789101113[[#This Row],[Costo real]]</f>
        <v>0</v>
      </c>
      <c r="F33" s="9"/>
      <c r="G33" s="25" t="s">
        <v>19</v>
      </c>
      <c r="H33" s="27" t="s">
        <v>66</v>
      </c>
      <c r="I33" s="27" t="s">
        <v>66</v>
      </c>
      <c r="J33" s="26">
        <f>SUBTOTAL(109,Prestamos164052647688100112[DIFERENCIA])</f>
        <v>0</v>
      </c>
    </row>
    <row r="34" spans="1:10" ht="24.95" customHeight="1">
      <c r="B34" s="23" t="s">
        <v>64</v>
      </c>
      <c r="C34" s="24">
        <v>0</v>
      </c>
      <c r="D34" s="24">
        <v>0</v>
      </c>
      <c r="E34" s="24">
        <f>Transporte174153657789101113[[#This Row],[Costo previsto]]-Transporte174153657789101113[[#This Row],[Costo real]]</f>
        <v>0</v>
      </c>
      <c r="F34" s="9"/>
      <c r="G34" s="41"/>
      <c r="H34" s="41"/>
      <c r="I34" s="41"/>
      <c r="J34" s="41"/>
    </row>
    <row r="35" spans="1:10" ht="24.95" customHeight="1">
      <c r="B35" s="25" t="s">
        <v>19</v>
      </c>
      <c r="C35" s="26">
        <f>SUBTOTAL(109,Transporte174153657789101113[Costo previsto])</f>
        <v>0</v>
      </c>
      <c r="D35" s="26">
        <f>SUBTOTAL(109,Transporte174153657789101113[Costo real])</f>
        <v>0</v>
      </c>
      <c r="E35" s="26">
        <f>SUBTOTAL(109,Transporte174153657789101113[Diferencia])</f>
        <v>0</v>
      </c>
      <c r="F35" s="9"/>
      <c r="G35" s="21" t="s">
        <v>54</v>
      </c>
      <c r="H35" s="21" t="s">
        <v>76</v>
      </c>
      <c r="I35" s="21" t="s">
        <v>75</v>
      </c>
      <c r="J35" s="21" t="s">
        <v>77</v>
      </c>
    </row>
    <row r="36" spans="1:10" ht="24.95" customHeight="1">
      <c r="B36" s="41"/>
      <c r="C36" s="41"/>
      <c r="D36" s="41"/>
      <c r="E36" s="41"/>
      <c r="F36" s="9"/>
      <c r="G36" s="23" t="s">
        <v>55</v>
      </c>
      <c r="H36" s="24">
        <v>0</v>
      </c>
      <c r="I36" s="24">
        <v>0</v>
      </c>
      <c r="J36" s="24">
        <f>Impuestos194355677991103115[[#This Row],[COSTO PREVISTO]]-Impuestos194355677991103115[[#This Row],[COSTO REAL]]</f>
        <v>0</v>
      </c>
    </row>
    <row r="37" spans="1:10" ht="24.95" customHeight="1">
      <c r="A37" s="4" t="s">
        <v>9</v>
      </c>
      <c r="B37" s="21" t="s">
        <v>25</v>
      </c>
      <c r="C37" s="21" t="s">
        <v>76</v>
      </c>
      <c r="D37" s="21" t="s">
        <v>75</v>
      </c>
      <c r="E37" s="21" t="s">
        <v>77</v>
      </c>
      <c r="F37" s="9"/>
      <c r="G37" s="23" t="s">
        <v>56</v>
      </c>
      <c r="H37" s="24">
        <v>0</v>
      </c>
      <c r="I37" s="24">
        <v>0</v>
      </c>
      <c r="J37" s="24">
        <f>Impuestos194355677991103115[[#This Row],[COSTO PREVISTO]]-Impuestos194355677991103115[[#This Row],[COSTO REAL]]</f>
        <v>0</v>
      </c>
    </row>
    <row r="38" spans="1:10" ht="24.95" customHeight="1">
      <c r="B38" s="23" t="s">
        <v>26</v>
      </c>
      <c r="C38" s="24">
        <v>0</v>
      </c>
      <c r="D38" s="24">
        <v>0</v>
      </c>
      <c r="E38" s="24">
        <f>Seguro184254667890102114[[#This Row],[COSTO PREVISTO]]-Seguro184254667890102114[[#This Row],[COSTO REAL]]</f>
        <v>0</v>
      </c>
      <c r="F38" s="9"/>
      <c r="G38" s="23" t="s">
        <v>57</v>
      </c>
      <c r="H38" s="24">
        <v>0</v>
      </c>
      <c r="I38" s="24">
        <v>0</v>
      </c>
      <c r="J38" s="24">
        <f>Impuestos194355677991103115[[#This Row],[COSTO PREVISTO]]-Impuestos194355677991103115[[#This Row],[COSTO REAL]]</f>
        <v>0</v>
      </c>
    </row>
    <row r="39" spans="1:10" ht="24.95" customHeight="1">
      <c r="B39" s="23" t="s">
        <v>98</v>
      </c>
      <c r="C39" s="24">
        <v>0</v>
      </c>
      <c r="D39" s="24">
        <v>0</v>
      </c>
      <c r="E39" s="24">
        <f>Seguro184254667890102114[[#This Row],[COSTO PREVISTO]]-Seguro184254667890102114[[#This Row],[COSTO REAL]]</f>
        <v>0</v>
      </c>
      <c r="F39" s="9"/>
      <c r="G39" s="23" t="s">
        <v>18</v>
      </c>
      <c r="H39" s="24">
        <v>0</v>
      </c>
      <c r="I39" s="24">
        <v>0</v>
      </c>
      <c r="J39" s="24">
        <f>Impuestos194355677991103115[[#This Row],[COSTO PREVISTO]]-Impuestos194355677991103115[[#This Row],[COSTO REAL]]</f>
        <v>0</v>
      </c>
    </row>
    <row r="40" spans="1:10" ht="24.95" customHeight="1">
      <c r="B40" s="23" t="s">
        <v>27</v>
      </c>
      <c r="C40" s="24">
        <v>0</v>
      </c>
      <c r="D40" s="24">
        <v>0</v>
      </c>
      <c r="E40" s="24">
        <f>Seguro184254667890102114[[#This Row],[COSTO PREVISTO]]-Seguro184254667890102114[[#This Row],[COSTO REAL]]</f>
        <v>0</v>
      </c>
      <c r="F40" s="9"/>
      <c r="G40" s="25" t="s">
        <v>19</v>
      </c>
      <c r="H40" s="27" t="s">
        <v>66</v>
      </c>
      <c r="I40" s="27" t="s">
        <v>66</v>
      </c>
      <c r="J40" s="26">
        <f>SUBTOTAL(109,Impuestos194355677991103115[DIFERENCIA])</f>
        <v>0</v>
      </c>
    </row>
    <row r="41" spans="1:10" ht="24.95" customHeight="1">
      <c r="B41" s="23" t="s">
        <v>18</v>
      </c>
      <c r="C41" s="24">
        <v>0</v>
      </c>
      <c r="D41" s="24">
        <v>0</v>
      </c>
      <c r="E41" s="24">
        <f>Seguro184254667890102114[[#This Row],[COSTO PREVISTO]]-Seguro184254667890102114[[#This Row],[COSTO REAL]]</f>
        <v>0</v>
      </c>
      <c r="F41" s="9"/>
      <c r="G41" s="41"/>
      <c r="H41" s="41"/>
      <c r="I41" s="41"/>
      <c r="J41" s="41"/>
    </row>
    <row r="42" spans="1:10" ht="24.95" customHeight="1">
      <c r="B42" s="25" t="s">
        <v>19</v>
      </c>
      <c r="C42" s="26">
        <f>SUBTOTAL(109,Seguro184254667890102114[COSTO PREVISTO])</f>
        <v>0</v>
      </c>
      <c r="D42" s="26">
        <f>SUBTOTAL(109,Seguro184254667890102114[COSTO REAL])</f>
        <v>0</v>
      </c>
      <c r="E42" s="26">
        <f>SUBTOTAL(109,Seguro184254667890102114[DIFERENCIA])</f>
        <v>0</v>
      </c>
      <c r="F42" s="9"/>
      <c r="G42" s="21" t="s">
        <v>58</v>
      </c>
      <c r="H42" s="21" t="s">
        <v>76</v>
      </c>
      <c r="I42" s="21" t="s">
        <v>75</v>
      </c>
      <c r="J42" s="21" t="s">
        <v>77</v>
      </c>
    </row>
    <row r="43" spans="1:10" ht="24.95" customHeight="1">
      <c r="B43" s="41"/>
      <c r="C43" s="41"/>
      <c r="D43" s="41"/>
      <c r="E43" s="41"/>
      <c r="F43" s="9"/>
      <c r="G43" s="23" t="s">
        <v>96</v>
      </c>
      <c r="H43" s="24">
        <v>0</v>
      </c>
      <c r="I43" s="24">
        <v>0</v>
      </c>
      <c r="J43" s="24">
        <f>Ahorros204456688092104116[[#This Row],[COSTO PREVISTO]]-Ahorros204456688092104116[[#This Row],[COSTO REAL]]</f>
        <v>0</v>
      </c>
    </row>
    <row r="44" spans="1:10" ht="24.95" customHeight="1">
      <c r="A44" s="4" t="s">
        <v>10</v>
      </c>
      <c r="B44" s="21" t="s">
        <v>28</v>
      </c>
      <c r="C44" s="21" t="s">
        <v>76</v>
      </c>
      <c r="D44" s="21" t="s">
        <v>75</v>
      </c>
      <c r="E44" s="21" t="s">
        <v>77</v>
      </c>
      <c r="F44" s="9"/>
      <c r="G44" s="23" t="s">
        <v>97</v>
      </c>
      <c r="H44" s="24">
        <v>0</v>
      </c>
      <c r="I44" s="24">
        <v>0</v>
      </c>
      <c r="J44" s="24">
        <f>Ahorros204456688092104116[[#This Row],[COSTO PREVISTO]]-Ahorros204456688092104116[[#This Row],[COSTO REAL]]</f>
        <v>0</v>
      </c>
    </row>
    <row r="45" spans="1:10" ht="24.95" customHeight="1">
      <c r="B45" s="23" t="s">
        <v>29</v>
      </c>
      <c r="C45" s="24">
        <v>0</v>
      </c>
      <c r="D45" s="24">
        <v>0</v>
      </c>
      <c r="E45" s="24">
        <f>Comida214557698193105117[[#This Row],[COSTO PREVISTO]]-Comida214557698193105117[[#This Row],[COSTO REAL]]</f>
        <v>0</v>
      </c>
      <c r="F45" s="9"/>
      <c r="G45" s="23" t="s">
        <v>18</v>
      </c>
      <c r="H45" s="24">
        <v>0</v>
      </c>
      <c r="I45" s="24">
        <v>0</v>
      </c>
      <c r="J45" s="24">
        <f>Ahorros204456688092104116[[#This Row],[COSTO PREVISTO]]-Ahorros204456688092104116[[#This Row],[COSTO REAL]]</f>
        <v>0</v>
      </c>
    </row>
    <row r="46" spans="1:10" ht="24.95" customHeight="1">
      <c r="B46" s="23" t="s">
        <v>30</v>
      </c>
      <c r="C46" s="24">
        <v>0</v>
      </c>
      <c r="D46" s="24">
        <v>0</v>
      </c>
      <c r="E46" s="24">
        <f>Comida214557698193105117[[#This Row],[COSTO PREVISTO]]-Comida214557698193105117[[#This Row],[COSTO REAL]]</f>
        <v>0</v>
      </c>
      <c r="F46" s="9"/>
      <c r="G46" s="25" t="s">
        <v>19</v>
      </c>
      <c r="H46" s="27" t="s">
        <v>66</v>
      </c>
      <c r="I46" s="27" t="s">
        <v>66</v>
      </c>
      <c r="J46" s="26">
        <f>SUBTOTAL(109,Ahorros204456688092104116[DIFERENCIA])</f>
        <v>0</v>
      </c>
    </row>
    <row r="47" spans="1:10" ht="24.95" customHeight="1">
      <c r="B47" s="23" t="s">
        <v>65</v>
      </c>
      <c r="C47" s="24">
        <v>0</v>
      </c>
      <c r="D47" s="24">
        <v>0</v>
      </c>
      <c r="E47" s="24">
        <f>Comida214557698193105117[[#This Row],[COSTO PREVISTO]]-Comida214557698193105117[[#This Row],[COSTO REAL]]</f>
        <v>0</v>
      </c>
      <c r="F47" s="9"/>
      <c r="G47" s="41"/>
      <c r="H47" s="41"/>
      <c r="I47" s="41"/>
      <c r="J47" s="41"/>
    </row>
    <row r="48" spans="1:10" ht="24.95" customHeight="1">
      <c r="B48" s="25" t="s">
        <v>19</v>
      </c>
      <c r="C48" s="26">
        <f>SUBTOTAL(109,Comida214557698193105117[COSTO PREVISTO])</f>
        <v>0</v>
      </c>
      <c r="D48" s="26">
        <f>SUBTOTAL(109,Comida214557698193105117[COSTO REAL])</f>
        <v>0</v>
      </c>
      <c r="E48" s="26">
        <f>SUBTOTAL(109,Comida214557698193105117[DIFERENCIA])</f>
        <v>0</v>
      </c>
      <c r="F48" s="9"/>
      <c r="G48" s="21" t="s">
        <v>79</v>
      </c>
      <c r="H48" s="21" t="s">
        <v>76</v>
      </c>
      <c r="I48" s="21" t="s">
        <v>80</v>
      </c>
      <c r="J48" s="21" t="s">
        <v>77</v>
      </c>
    </row>
    <row r="49" spans="1:10" ht="24.95" customHeight="1">
      <c r="B49" s="41"/>
      <c r="C49" s="41"/>
      <c r="D49" s="41"/>
      <c r="E49" s="41"/>
      <c r="F49" s="9"/>
      <c r="G49" s="23" t="s">
        <v>85</v>
      </c>
      <c r="H49" s="24">
        <v>0</v>
      </c>
      <c r="I49" s="24">
        <v>0</v>
      </c>
      <c r="J49" s="24">
        <f>Regalos224658708294106118[[#This Row],[COSTO PREVISTO]]-Regalos224658708294106118[[#This Row],[COSTO REAL ]]</f>
        <v>0</v>
      </c>
    </row>
    <row r="50" spans="1:10" ht="24.95" customHeight="1">
      <c r="A50" s="4" t="s">
        <v>11</v>
      </c>
      <c r="B50" s="21" t="s">
        <v>31</v>
      </c>
      <c r="C50" s="21" t="s">
        <v>76</v>
      </c>
      <c r="D50" s="21" t="s">
        <v>75</v>
      </c>
      <c r="E50" s="21" t="s">
        <v>77</v>
      </c>
      <c r="F50" s="9"/>
      <c r="G50" s="23" t="s">
        <v>84</v>
      </c>
      <c r="H50" s="24">
        <v>0</v>
      </c>
      <c r="I50" s="24">
        <v>0</v>
      </c>
      <c r="J50" s="24">
        <f>Regalos224658708294106118[[#This Row],[COSTO PREVISTO]]-Regalos224658708294106118[[#This Row],[COSTO REAL ]]</f>
        <v>0</v>
      </c>
    </row>
    <row r="51" spans="1:10" ht="24.95" customHeight="1">
      <c r="B51" s="23" t="s">
        <v>32</v>
      </c>
      <c r="C51" s="24">
        <v>0</v>
      </c>
      <c r="D51" s="24">
        <v>0</v>
      </c>
      <c r="E51" s="24">
        <f>Mascotas234759718395107119[[#This Row],[COSTO PREVISTO]]-Mascotas234759718395107119[[#This Row],[COSTO REAL]]</f>
        <v>0</v>
      </c>
      <c r="F51" s="9"/>
      <c r="G51" s="23" t="s">
        <v>63</v>
      </c>
      <c r="H51" s="24">
        <v>0</v>
      </c>
      <c r="I51" s="24">
        <v>0</v>
      </c>
      <c r="J51" s="24">
        <f>Regalos224658708294106118[[#This Row],[COSTO PREVISTO]]-Regalos224658708294106118[[#This Row],[COSTO REAL ]]</f>
        <v>0</v>
      </c>
    </row>
    <row r="52" spans="1:10" ht="24.95" customHeight="1">
      <c r="B52" s="23" t="s">
        <v>33</v>
      </c>
      <c r="C52" s="24">
        <v>0</v>
      </c>
      <c r="D52" s="24">
        <v>0</v>
      </c>
      <c r="E52" s="24">
        <f>Mascotas234759718395107119[[#This Row],[COSTO PREVISTO]]-Mascotas234759718395107119[[#This Row],[COSTO REAL]]</f>
        <v>0</v>
      </c>
      <c r="F52" s="9"/>
      <c r="G52" s="25" t="s">
        <v>19</v>
      </c>
      <c r="H52" s="27">
        <f>SUBTOTAL(109,Regalos224658708294106118[COSTO PREVISTO])</f>
        <v>0</v>
      </c>
      <c r="I52" s="27" t="s">
        <v>66</v>
      </c>
      <c r="J52" s="26">
        <f>SUBTOTAL(109,Regalos224658708294106118[DIFERENCIA])</f>
        <v>0</v>
      </c>
    </row>
    <row r="53" spans="1:10" ht="24.95" customHeight="1">
      <c r="B53" s="23" t="s">
        <v>34</v>
      </c>
      <c r="C53" s="24">
        <v>0</v>
      </c>
      <c r="D53" s="24">
        <v>0</v>
      </c>
      <c r="E53" s="24">
        <f>Mascotas234759718395107119[[#This Row],[COSTO PREVISTO]]-Mascotas234759718395107119[[#This Row],[COSTO REAL]]</f>
        <v>0</v>
      </c>
      <c r="F53" s="9"/>
      <c r="G53" s="41"/>
      <c r="H53" s="41"/>
      <c r="I53" s="41"/>
      <c r="J53" s="41"/>
    </row>
    <row r="54" spans="1:10" ht="24.95" customHeight="1">
      <c r="B54" s="23" t="s">
        <v>35</v>
      </c>
      <c r="C54" s="24">
        <v>0</v>
      </c>
      <c r="D54" s="24">
        <v>0</v>
      </c>
      <c r="E54" s="24">
        <f>Mascotas234759718395107119[[#This Row],[COSTO PREVISTO]]-Mascotas234759718395107119[[#This Row],[COSTO REAL]]</f>
        <v>0</v>
      </c>
      <c r="F54" s="9"/>
      <c r="G54" s="21" t="s">
        <v>59</v>
      </c>
      <c r="H54" s="21" t="s">
        <v>76</v>
      </c>
      <c r="I54" s="21" t="s">
        <v>75</v>
      </c>
      <c r="J54" s="21" t="s">
        <v>77</v>
      </c>
    </row>
    <row r="55" spans="1:10" ht="24.95" customHeight="1">
      <c r="B55" s="23" t="s">
        <v>18</v>
      </c>
      <c r="C55" s="24">
        <v>0</v>
      </c>
      <c r="D55" s="24">
        <v>0</v>
      </c>
      <c r="E55" s="24">
        <f>Mascotas234759718395107119[[#This Row],[COSTO PREVISTO]]-Mascotas234759718395107119[[#This Row],[COSTO REAL]]</f>
        <v>0</v>
      </c>
      <c r="F55" s="9"/>
      <c r="G55" s="23" t="s">
        <v>60</v>
      </c>
      <c r="H55" s="24">
        <v>0</v>
      </c>
      <c r="I55" s="24">
        <v>0</v>
      </c>
      <c r="J55" s="24">
        <f>Legal244860728496108120[[#This Row],[COSTO PREVISTO]]-Legal244860728496108120[[#This Row],[COSTO REAL]]</f>
        <v>0</v>
      </c>
    </row>
    <row r="56" spans="1:10" ht="24.95" customHeight="1">
      <c r="B56" s="25" t="s">
        <v>19</v>
      </c>
      <c r="C56" s="26">
        <f>SUBTOTAL(109,Mascotas234759718395107119[COSTO PREVISTO])</f>
        <v>0</v>
      </c>
      <c r="D56" s="26">
        <f>SUBTOTAL(109,Mascotas234759718395107119[COSTO REAL])</f>
        <v>0</v>
      </c>
      <c r="E56" s="26">
        <f>SUBTOTAL(109,Mascotas234759718395107119[DIFERENCIA])</f>
        <v>0</v>
      </c>
      <c r="F56" s="9"/>
      <c r="G56" s="23" t="s">
        <v>86</v>
      </c>
      <c r="H56" s="24">
        <v>0</v>
      </c>
      <c r="I56" s="24">
        <v>0</v>
      </c>
      <c r="J56" s="24">
        <f>Legal244860728496108120[[#This Row],[COSTO PREVISTO]]-Legal244860728496108120[[#This Row],[COSTO REAL]]</f>
        <v>0</v>
      </c>
    </row>
    <row r="57" spans="1:10" ht="24.95" customHeight="1">
      <c r="B57" s="41"/>
      <c r="C57" s="41"/>
      <c r="D57" s="41"/>
      <c r="E57" s="41"/>
      <c r="F57" s="9"/>
      <c r="G57" s="23" t="s">
        <v>87</v>
      </c>
      <c r="H57" s="24">
        <v>0</v>
      </c>
      <c r="I57" s="24">
        <v>0</v>
      </c>
      <c r="J57" s="24">
        <f>Legal244860728496108120[[#This Row],[COSTO PREVISTO]]-Legal244860728496108120[[#This Row],[COSTO REAL]]</f>
        <v>0</v>
      </c>
    </row>
    <row r="58" spans="1:10" ht="24.95" customHeight="1">
      <c r="A58" s="4" t="s">
        <v>12</v>
      </c>
      <c r="B58" s="21" t="s">
        <v>36</v>
      </c>
      <c r="C58" s="21" t="s">
        <v>40</v>
      </c>
      <c r="D58" s="21" t="s">
        <v>42</v>
      </c>
      <c r="E58" s="21" t="s">
        <v>43</v>
      </c>
      <c r="F58" s="9"/>
      <c r="G58" s="23" t="s">
        <v>18</v>
      </c>
      <c r="H58" s="24">
        <v>0</v>
      </c>
      <c r="I58" s="24">
        <v>0</v>
      </c>
      <c r="J58" s="24">
        <f>Legal244860728496108120[[#This Row],[COSTO PREVISTO]]-Legal244860728496108120[[#This Row],[COSTO REAL]]</f>
        <v>0</v>
      </c>
    </row>
    <row r="59" spans="1:10" ht="24.95" customHeight="1">
      <c r="B59" s="23" t="s">
        <v>33</v>
      </c>
      <c r="C59" s="24">
        <v>0</v>
      </c>
      <c r="D59" s="24">
        <v>0</v>
      </c>
      <c r="E59" s="24">
        <f>CuidadoPersonal254961738597109121[[#This Row],[Costo previsto]]-CuidadoPersonal254961738597109121[[#This Row],[Coste real]]</f>
        <v>0</v>
      </c>
      <c r="F59" s="9"/>
      <c r="G59" s="25" t="s">
        <v>19</v>
      </c>
      <c r="H59" s="27" t="s">
        <v>66</v>
      </c>
      <c r="I59" s="27" t="s">
        <v>66</v>
      </c>
      <c r="J59" s="26">
        <f>SUBTOTAL(109,Legal244860728496108120[DIFERENCIA])</f>
        <v>0</v>
      </c>
    </row>
    <row r="60" spans="1:10" ht="24.95" customHeight="1">
      <c r="B60" s="23" t="s">
        <v>95</v>
      </c>
      <c r="C60" s="24">
        <v>0</v>
      </c>
      <c r="D60" s="24">
        <v>0</v>
      </c>
      <c r="E60" s="24">
        <f>CuidadoPersonal254961738597109121[[#This Row],[Costo previsto]]-CuidadoPersonal254961738597109121[[#This Row],[Coste real]]</f>
        <v>0</v>
      </c>
      <c r="F60" s="9"/>
      <c r="G60" s="41"/>
      <c r="H60" s="41"/>
      <c r="I60" s="41"/>
      <c r="J60" s="41"/>
    </row>
    <row r="61" spans="1:10" ht="24.95" customHeight="1">
      <c r="A61" s="4" t="s">
        <v>13</v>
      </c>
      <c r="B61" s="23" t="s">
        <v>37</v>
      </c>
      <c r="C61" s="24">
        <v>0</v>
      </c>
      <c r="D61" s="24">
        <v>0</v>
      </c>
      <c r="E61" s="24">
        <f>CuidadoPersonal254961738597109121[[#This Row],[Costo previsto]]-CuidadoPersonal254961738597109121[[#This Row],[Coste real]]</f>
        <v>0</v>
      </c>
      <c r="F61" s="9"/>
      <c r="G61" s="35" t="s">
        <v>89</v>
      </c>
      <c r="H61" s="35"/>
      <c r="I61" s="35"/>
      <c r="J61" s="40">
        <f>SUBTOTAL(109,Alojamiento14385062748698110[COSTO PREVISTO],Transporte174153657789101113[Costo previsto],Seguro184254667890102114[COSTO PREVISTO],Comida214557698193105117[COSTO PREVISTO],Mascotas234759718395107119[COSTO PREVISTO],CuidadoPersonal254961738597109121[Costo previsto],Entretenimiento15395163758799111[COSTO PREVISTO],Prestamos164052647688100112[COSTO PREVISTO],Impuestos194355677991103115[COSTO PREVISTO],Ahorros204456688092104116[COSTO PREVISTO],Regalos224658708294106118[COSTO PREVISTO],Legal244860728496108120[COSTO PREVISTO])</f>
        <v>0</v>
      </c>
    </row>
    <row r="62" spans="1:10" ht="24.95" customHeight="1">
      <c r="B62" s="23" t="s">
        <v>38</v>
      </c>
      <c r="C62" s="24">
        <v>0</v>
      </c>
      <c r="D62" s="24">
        <v>0</v>
      </c>
      <c r="E62" s="24">
        <f>CuidadoPersonal254961738597109121[[#This Row],[Costo previsto]]-CuidadoPersonal254961738597109121[[#This Row],[Coste real]]</f>
        <v>0</v>
      </c>
      <c r="F62" s="9"/>
      <c r="G62" s="35"/>
      <c r="H62" s="35"/>
      <c r="I62" s="35"/>
      <c r="J62" s="40"/>
    </row>
    <row r="63" spans="1:10" ht="24.95" customHeight="1">
      <c r="B63" s="23" t="s">
        <v>39</v>
      </c>
      <c r="C63" s="24">
        <v>0</v>
      </c>
      <c r="D63" s="24">
        <v>0</v>
      </c>
      <c r="E63" s="24">
        <f>CuidadoPersonal254961738597109121[[#This Row],[Costo previsto]]-CuidadoPersonal254961738597109121[[#This Row],[Coste real]]</f>
        <v>0</v>
      </c>
      <c r="F63" s="9"/>
      <c r="G63" s="35" t="s">
        <v>90</v>
      </c>
      <c r="H63" s="35"/>
      <c r="I63" s="35"/>
      <c r="J63" s="40">
        <f>SUBTOTAL(109,Alojamiento14385062748698110[COSTO REAL],Transporte174153657789101113[Costo real],Seguro184254667890102114[COSTO REAL],Comida214557698193105117[COSTO REAL],Mascotas234759718395107119[COSTO REAL],CuidadoPersonal254961738597109121[Coste real],Entretenimiento15395163758799111[COSTO REAL],Prestamos164052647688100112[COSTO REAL],Impuestos194355677991103115[COSTO REAL],Ahorros204456688092104116[COSTO REAL],Regalos224658708294106118[[COSTO REAL ]],Legal244860728496108120[COSTO REAL])</f>
        <v>0</v>
      </c>
    </row>
    <row r="64" spans="1:10" ht="24.95" customHeight="1">
      <c r="B64" s="23" t="s">
        <v>88</v>
      </c>
      <c r="C64" s="24">
        <v>0</v>
      </c>
      <c r="D64" s="24">
        <v>0</v>
      </c>
      <c r="E64" s="24">
        <f>CuidadoPersonal254961738597109121[[#This Row],[Costo previsto]]-CuidadoPersonal254961738597109121[[#This Row],[Coste real]]</f>
        <v>0</v>
      </c>
      <c r="F64" s="9"/>
      <c r="G64" s="35"/>
      <c r="H64" s="35"/>
      <c r="I64" s="35"/>
      <c r="J64" s="40"/>
    </row>
    <row r="65" spans="2:10" ht="24.95" customHeight="1">
      <c r="B65" s="23" t="s">
        <v>18</v>
      </c>
      <c r="C65" s="24">
        <v>0</v>
      </c>
      <c r="D65" s="24">
        <v>0</v>
      </c>
      <c r="E65" s="24">
        <f>CuidadoPersonal254961738597109121[[#This Row],[Costo previsto]]-CuidadoPersonal254961738597109121[[#This Row],[Coste real]]</f>
        <v>0</v>
      </c>
      <c r="F65" s="9"/>
      <c r="G65" s="35" t="s">
        <v>91</v>
      </c>
      <c r="H65" s="35"/>
      <c r="I65" s="35"/>
      <c r="J65" s="40">
        <f>J61-J63</f>
        <v>0</v>
      </c>
    </row>
    <row r="66" spans="2:10" ht="24.95" customHeight="1">
      <c r="B66" s="25" t="s">
        <v>19</v>
      </c>
      <c r="C66" s="26">
        <f>SUBTOTAL(109,CuidadoPersonal254961738597109121[Costo previsto])</f>
        <v>0</v>
      </c>
      <c r="D66" s="26">
        <f>SUBTOTAL(109,CuidadoPersonal254961738597109121[Coste real])</f>
        <v>0</v>
      </c>
      <c r="E66" s="26">
        <f>SUBTOTAL(109,CuidadoPersonal254961738597109121[Diferencia])</f>
        <v>0</v>
      </c>
      <c r="F66" s="9"/>
      <c r="G66" s="35"/>
      <c r="H66" s="35"/>
      <c r="I66" s="35"/>
      <c r="J66" s="40"/>
    </row>
    <row r="67" spans="2:10">
      <c r="B67" s="42"/>
      <c r="C67" s="42"/>
      <c r="D67" s="42"/>
      <c r="E67" s="42"/>
    </row>
  </sheetData>
  <mergeCells count="26">
    <mergeCell ref="G63:I64"/>
    <mergeCell ref="J63:J64"/>
    <mergeCell ref="G65:I66"/>
    <mergeCell ref="J65:J66"/>
    <mergeCell ref="B67:E67"/>
    <mergeCell ref="G61:I62"/>
    <mergeCell ref="J61:J62"/>
    <mergeCell ref="G25:J25"/>
    <mergeCell ref="B26:E26"/>
    <mergeCell ref="G34:J34"/>
    <mergeCell ref="B36:E36"/>
    <mergeCell ref="G41:J41"/>
    <mergeCell ref="B43:E43"/>
    <mergeCell ref="G47:J47"/>
    <mergeCell ref="B49:E49"/>
    <mergeCell ref="G53:J53"/>
    <mergeCell ref="B57:E57"/>
    <mergeCell ref="G60:J60"/>
    <mergeCell ref="E8:G9"/>
    <mergeCell ref="H8:H9"/>
    <mergeCell ref="B9:C9"/>
    <mergeCell ref="B4:C4"/>
    <mergeCell ref="E4:G5"/>
    <mergeCell ref="H4:H5"/>
    <mergeCell ref="E6:G7"/>
    <mergeCell ref="H6:H7"/>
  </mergeCells>
  <dataValidations count="12">
    <dataValidation allowBlank="1" showInputMessage="1" showErrorMessage="1" prompt="Cree un presupuesto mensual personal en esta hoja de cálculo. Encontrará instrucciones útiles sobre cómo usar este libro en las celdas de esta columna. Use la flecha hacia abajo para empezar." sqref="A1"/>
    <dataValidation allowBlank="1" showInputMessage="1" showErrorMessage="1" prompt="El título de esta hoja de cálculo está en la celda C2. La instrucción siguiente se encuentra en la celda A4." sqref="A2"/>
    <dataValidation allowBlank="1" showInputMessage="1" showErrorMessage="1" prompt="La etiqueta Ingresos mensuales previstos está en la celda de la derecha. Escriba el Ingreso 1 en la celda C5 y el Ingreso adicional en la C6 para calcular el total de ingresos mensuales en la celda C7. La instrucción siguiente se encuentra en la celda A7." sqref="A4"/>
    <dataValidation allowBlank="1" showInputMessage="1" showErrorMessage="1" prompt="El saldo previsto se calcula automáticamente en la celda H4; el saldo real, en la H6; y la diferencia, en la celda H8. La instrucción siguiente se encuentra en la celda A9." sqref="A7"/>
    <dataValidation allowBlank="1" showInputMessage="1" showErrorMessage="1" prompt="La etiqueta Ingresos mensuales reales está en la celda de la derecha. Escriba el Ingreso 1 en la celda C10 y el Ingreso adicional en la C11 para calcular el total de ingresos mensuales en la celda C12. La instrucción siguiente está en la celda A14." sqref="A9"/>
    <dataValidation allowBlank="1" showInputMessage="1" showErrorMessage="1" prompt="Escriba la información en la tabla Alojamiento, empezando por la celda de la derecha y en la tabla Entretenimiento, empezando por la celda G14. La instrucción siguiente se encuentra en la celda A27." sqref="A14"/>
    <dataValidation allowBlank="1" showInputMessage="1" showErrorMessage="1" prompt="Escriba la información en la tabla Transporte, empezando por la celda de la derecha y en la tabla Préstamos, empezando por la celda G26. La instrucción siguiente se encuentra en la celda A37." sqref="A27"/>
    <dataValidation allowBlank="1" showInputMessage="1" showErrorMessage="1" prompt="Escriba la información en la tabla Seguro, empezando por la celda de la derecha y en la tabla Impuestos, empezando por la celda G35. La instrucción siguiente se encuentra en la celda A44." sqref="A37"/>
    <dataValidation allowBlank="1" showInputMessage="1" showErrorMessage="1" prompt="Escriba la información en la tabla Comida, empezando por la celda de la derecha y en la tabla Ahorros, empezando por la celda G42. La instrucción siguiente se encuentra en la celda A50." sqref="A44"/>
    <dataValidation allowBlank="1" showInputMessage="1" showErrorMessage="1" prompt="Escriba la información en la tabla Mascotas, empezando por la celda de la derecha y en la tabla Regalos, empezando por la celda G48. La instrucción siguiente se encuentra en la celda A58." sqref="A50"/>
    <dataValidation allowBlank="1" showInputMessage="1" showErrorMessage="1" prompt="Escriba la información en la tabla Cuidado personal, empezando por la celda de la derecha y en la tabla Legal, empezando por la celda G54. La instrucción siguiente se encuentra en la celda A61." sqref="A58"/>
    <dataValidation allowBlank="1" showInputMessage="1" showErrorMessage="1" prompt="El total de gastos previstos se calcula automáticamente en la celda J61; el total del gasto real, en la J63; y la diferencia total, en la celda J65." sqref="A61"/>
  </dataValidations>
  <pageMargins left="0.7" right="0.7" top="0.75" bottom="0.75" header="0.3" footer="0.3"/>
  <pageSetup paperSize="9" orientation="portrait" r:id="rId1"/>
  <drawing r:id="rId2"/>
  <tableParts count="12">
    <tablePart r:id="rId3"/>
    <tablePart r:id="rId4"/>
    <tablePart r:id="rId5"/>
    <tablePart r:id="rId6"/>
    <tablePart r:id="rId7"/>
    <tablePart r:id="rId8"/>
    <tablePart r:id="rId9"/>
    <tablePart r:id="rId10"/>
    <tablePart r:id="rId11"/>
    <tablePart r:id="rId12"/>
    <tablePart r:id="rId13"/>
    <tablePart r:id="rId14"/>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O67"/>
  <sheetViews>
    <sheetView zoomScale="70" zoomScaleNormal="70" workbookViewId="0">
      <selection activeCell="B29" sqref="B29"/>
    </sheetView>
  </sheetViews>
  <sheetFormatPr baseColWidth="10" defaultColWidth="9" defaultRowHeight="12.75"/>
  <cols>
    <col min="1" max="1" width="2.625" style="4" customWidth="1"/>
    <col min="2" max="2" width="34.875" customWidth="1"/>
    <col min="3" max="3" width="20.875" customWidth="1"/>
    <col min="4" max="4" width="17.625" customWidth="1"/>
    <col min="5" max="5" width="16" customWidth="1"/>
    <col min="6" max="6" width="2.625" customWidth="1"/>
    <col min="7" max="7" width="34.875" customWidth="1"/>
    <col min="8" max="8" width="19.625" customWidth="1"/>
    <col min="9" max="9" width="16.25" customWidth="1"/>
    <col min="10" max="10" width="17.625" customWidth="1"/>
    <col min="11" max="11" width="2.625" customWidth="1"/>
  </cols>
  <sheetData>
    <row r="1" spans="1:15" s="1" customFormat="1" ht="14.25">
      <c r="A1" s="3" t="s">
        <v>2</v>
      </c>
    </row>
    <row r="2" spans="1:15" s="1" customFormat="1" ht="71.25" customHeight="1">
      <c r="A2" s="10" t="s">
        <v>3</v>
      </c>
      <c r="B2" s="12"/>
      <c r="C2" s="13"/>
      <c r="D2" s="14"/>
      <c r="E2" s="14"/>
      <c r="F2" s="14"/>
      <c r="G2" s="14"/>
      <c r="H2" s="14"/>
      <c r="I2" s="15"/>
      <c r="J2" s="15"/>
      <c r="K2" s="12"/>
    </row>
    <row r="3" spans="1:15">
      <c r="B3" s="16"/>
      <c r="C3" s="16"/>
      <c r="D3" s="16"/>
      <c r="E3" s="16"/>
      <c r="F3" s="16"/>
      <c r="G3" s="16"/>
      <c r="H3" s="16"/>
      <c r="I3" s="16"/>
      <c r="J3" s="16"/>
      <c r="K3" s="16"/>
    </row>
    <row r="4" spans="1:15" ht="24.95" customHeight="1">
      <c r="A4" s="4" t="s">
        <v>4</v>
      </c>
      <c r="B4" s="37" t="s">
        <v>67</v>
      </c>
      <c r="C4" s="39"/>
      <c r="D4" s="6"/>
      <c r="E4" s="35" t="s">
        <v>92</v>
      </c>
      <c r="F4" s="35"/>
      <c r="G4" s="35"/>
      <c r="H4" s="36">
        <f>C7-J61</f>
        <v>0</v>
      </c>
    </row>
    <row r="5" spans="1:15" ht="24.95" customHeight="1">
      <c r="B5" s="17" t="s">
        <v>14</v>
      </c>
      <c r="C5" s="18">
        <v>0</v>
      </c>
      <c r="E5" s="35"/>
      <c r="F5" s="35"/>
      <c r="G5" s="35"/>
      <c r="H5" s="36"/>
      <c r="I5" s="7"/>
    </row>
    <row r="6" spans="1:15" ht="24.95" customHeight="1">
      <c r="B6" s="17" t="s">
        <v>69</v>
      </c>
      <c r="C6" s="18">
        <v>0</v>
      </c>
      <c r="E6" s="35" t="s">
        <v>93</v>
      </c>
      <c r="F6" s="35"/>
      <c r="G6" s="35"/>
      <c r="H6" s="36">
        <f>C12-J63</f>
        <v>0</v>
      </c>
      <c r="I6" s="7"/>
    </row>
    <row r="7" spans="1:15" ht="24.95" customHeight="1">
      <c r="A7" s="4" t="s">
        <v>5</v>
      </c>
      <c r="B7" s="17" t="s">
        <v>70</v>
      </c>
      <c r="C7" s="20">
        <f>SUM(C5:C6)</f>
        <v>0</v>
      </c>
      <c r="E7" s="35"/>
      <c r="F7" s="35"/>
      <c r="G7" s="35"/>
      <c r="H7" s="36"/>
      <c r="I7" s="7"/>
    </row>
    <row r="8" spans="1:15" ht="24.95" customHeight="1">
      <c r="B8" s="2"/>
      <c r="C8" s="2"/>
      <c r="D8" s="2"/>
      <c r="E8" s="35" t="s">
        <v>94</v>
      </c>
      <c r="F8" s="35"/>
      <c r="G8" s="35"/>
      <c r="H8" s="36">
        <f>H6-H4</f>
        <v>0</v>
      </c>
      <c r="I8" s="7"/>
    </row>
    <row r="9" spans="1:15" ht="24.95" customHeight="1">
      <c r="A9" s="4" t="s">
        <v>6</v>
      </c>
      <c r="B9" s="37" t="s">
        <v>68</v>
      </c>
      <c r="C9" s="38"/>
      <c r="D9" s="6"/>
      <c r="E9" s="35"/>
      <c r="F9" s="35"/>
      <c r="G9" s="35"/>
      <c r="H9" s="36"/>
      <c r="I9" s="8"/>
    </row>
    <row r="10" spans="1:15" ht="24.95" customHeight="1">
      <c r="B10" s="17" t="s">
        <v>99</v>
      </c>
      <c r="C10" s="18">
        <v>0</v>
      </c>
      <c r="I10" s="7"/>
    </row>
    <row r="11" spans="1:15" ht="24.95" customHeight="1">
      <c r="B11" s="17" t="s">
        <v>69</v>
      </c>
      <c r="C11" s="18">
        <v>0</v>
      </c>
      <c r="E11" s="7"/>
      <c r="H11" s="11"/>
      <c r="I11" s="11"/>
    </row>
    <row r="12" spans="1:15" ht="24.95" customHeight="1">
      <c r="B12" s="19" t="s">
        <v>70</v>
      </c>
      <c r="C12" s="20">
        <f>SUM(C10:C11)</f>
        <v>0</v>
      </c>
    </row>
    <row r="14" spans="1:15" ht="24.95" customHeight="1">
      <c r="A14" s="4" t="s">
        <v>7</v>
      </c>
      <c r="B14" s="21" t="s">
        <v>74</v>
      </c>
      <c r="C14" s="21" t="s">
        <v>76</v>
      </c>
      <c r="D14" s="21" t="s">
        <v>75</v>
      </c>
      <c r="E14" s="21" t="s">
        <v>77</v>
      </c>
      <c r="F14" s="9"/>
      <c r="G14" s="21" t="s">
        <v>44</v>
      </c>
      <c r="H14" s="21" t="s">
        <v>76</v>
      </c>
      <c r="I14" s="21" t="s">
        <v>75</v>
      </c>
      <c r="J14" s="21" t="s">
        <v>77</v>
      </c>
      <c r="O14" s="22"/>
    </row>
    <row r="15" spans="1:15" ht="25.5" customHeight="1">
      <c r="B15" s="23" t="s">
        <v>78</v>
      </c>
      <c r="C15" s="24">
        <v>0</v>
      </c>
      <c r="D15" s="24">
        <v>0</v>
      </c>
      <c r="E15" s="24">
        <f>Alojamiento14[[#This Row],[COSTO PREVISTO]]-Alojamiento14[[#This Row],[COSTO REAL]]</f>
        <v>0</v>
      </c>
      <c r="F15" s="9"/>
      <c r="G15" s="23" t="s">
        <v>45</v>
      </c>
      <c r="H15" s="24">
        <v>0</v>
      </c>
      <c r="I15" s="24">
        <v>0</v>
      </c>
      <c r="J15" s="24">
        <f>Entretenimiento15[[#This Row],[COSTO PREVISTO]]-Entretenimiento15[[#This Row],[COSTO REAL]]</f>
        <v>0</v>
      </c>
    </row>
    <row r="16" spans="1:15" ht="24.95" customHeight="1">
      <c r="B16" s="23" t="s">
        <v>61</v>
      </c>
      <c r="C16" s="24">
        <v>0</v>
      </c>
      <c r="D16" s="24">
        <v>0</v>
      </c>
      <c r="E16" s="24">
        <f>Alojamiento14[[#This Row],[COSTO PREVISTO]]-Alojamiento14[[#This Row],[COSTO REAL]]</f>
        <v>0</v>
      </c>
      <c r="F16" s="9"/>
      <c r="G16" s="23" t="s">
        <v>46</v>
      </c>
      <c r="H16" s="24">
        <v>0</v>
      </c>
      <c r="I16" s="24">
        <v>0</v>
      </c>
      <c r="J16" s="24">
        <f>Entretenimiento15[[#This Row],[COSTO PREVISTO]]-Entretenimiento15[[#This Row],[COSTO REAL]]</f>
        <v>0</v>
      </c>
    </row>
    <row r="17" spans="1:10" ht="24.95" customHeight="1">
      <c r="B17" s="23" t="s">
        <v>15</v>
      </c>
      <c r="C17" s="24">
        <v>0</v>
      </c>
      <c r="D17" s="24">
        <v>0</v>
      </c>
      <c r="E17" s="24">
        <f>Alojamiento14[[#This Row],[COSTO PREVISTO]]-Alojamiento14[[#This Row],[COSTO REAL]]</f>
        <v>0</v>
      </c>
      <c r="F17" s="9"/>
      <c r="G17" s="23" t="s">
        <v>47</v>
      </c>
      <c r="H17" s="24">
        <v>0</v>
      </c>
      <c r="I17" s="24">
        <v>0</v>
      </c>
      <c r="J17" s="24">
        <f>Entretenimiento15[[#This Row],[COSTO PREVISTO]]-Entretenimiento15[[#This Row],[COSTO REAL]]</f>
        <v>0</v>
      </c>
    </row>
    <row r="18" spans="1:10" ht="24.95" customHeight="1">
      <c r="B18" s="23" t="s">
        <v>16</v>
      </c>
      <c r="C18" s="24">
        <v>0</v>
      </c>
      <c r="D18" s="24">
        <v>0</v>
      </c>
      <c r="E18" s="24">
        <f>Alojamiento14[[#This Row],[COSTO PREVISTO]]-Alojamiento14[[#This Row],[COSTO REAL]]</f>
        <v>0</v>
      </c>
      <c r="F18" s="9"/>
      <c r="G18" s="23" t="s">
        <v>48</v>
      </c>
      <c r="H18" s="24">
        <v>0</v>
      </c>
      <c r="I18" s="24">
        <v>0</v>
      </c>
      <c r="J18" s="24">
        <f>Entretenimiento15[[#This Row],[COSTO PREVISTO]]-Entretenimiento15[[#This Row],[COSTO REAL]]</f>
        <v>0</v>
      </c>
    </row>
    <row r="19" spans="1:10" ht="24.95" customHeight="1">
      <c r="B19" s="23" t="s">
        <v>71</v>
      </c>
      <c r="C19" s="24">
        <v>0</v>
      </c>
      <c r="D19" s="24">
        <v>0</v>
      </c>
      <c r="E19" s="24">
        <f>Alojamiento14[[#This Row],[COSTO PREVISTO]]-Alojamiento14[[#This Row],[COSTO REAL]]</f>
        <v>0</v>
      </c>
      <c r="F19" s="9"/>
      <c r="G19" s="23" t="s">
        <v>82</v>
      </c>
      <c r="H19" s="24">
        <v>0</v>
      </c>
      <c r="I19" s="24">
        <v>0</v>
      </c>
      <c r="J19" s="24">
        <f>Entretenimiento15[[#This Row],[COSTO PREVISTO]]-Entretenimiento15[[#This Row],[COSTO REAL]]</f>
        <v>0</v>
      </c>
    </row>
    <row r="20" spans="1:10" ht="24.95" customHeight="1">
      <c r="B20" s="23" t="s">
        <v>72</v>
      </c>
      <c r="C20" s="24">
        <v>0</v>
      </c>
      <c r="D20" s="24">
        <v>0</v>
      </c>
      <c r="E20" s="24">
        <f>Alojamiento14[[#This Row],[COSTO PREVISTO]]-Alojamiento14[[#This Row],[COSTO REAL]]</f>
        <v>0</v>
      </c>
      <c r="F20" s="9"/>
      <c r="G20" s="23" t="s">
        <v>49</v>
      </c>
      <c r="H20" s="24">
        <v>0</v>
      </c>
      <c r="I20" s="24">
        <v>0</v>
      </c>
      <c r="J20" s="24">
        <f>Entretenimiento15[[#This Row],[COSTO PREVISTO]]-Entretenimiento15[[#This Row],[COSTO REAL]]</f>
        <v>0</v>
      </c>
    </row>
    <row r="21" spans="1:10" ht="24.95" customHeight="1">
      <c r="B21" s="23" t="s">
        <v>81</v>
      </c>
      <c r="C21" s="24">
        <v>0</v>
      </c>
      <c r="D21" s="24">
        <v>0</v>
      </c>
      <c r="E21" s="24">
        <f>Alojamiento14[[#This Row],[COSTO PREVISTO]]-Alojamiento14[[#This Row],[COSTO REAL]]</f>
        <v>0</v>
      </c>
      <c r="F21" s="9"/>
      <c r="G21" s="23" t="s">
        <v>18</v>
      </c>
      <c r="H21" s="24">
        <v>0</v>
      </c>
      <c r="I21" s="24">
        <v>0</v>
      </c>
      <c r="J21" s="24">
        <f>Entretenimiento15[[#This Row],[COSTO PREVISTO]]-Entretenimiento15[[#This Row],[COSTO REAL]]</f>
        <v>0</v>
      </c>
    </row>
    <row r="22" spans="1:10" ht="24.95" customHeight="1">
      <c r="B22" s="23" t="s">
        <v>73</v>
      </c>
      <c r="C22" s="24">
        <v>0</v>
      </c>
      <c r="D22" s="24">
        <v>0</v>
      </c>
      <c r="E22" s="24">
        <f>Alojamiento14[[#This Row],[COSTO PREVISTO]]-Alojamiento14[[#This Row],[COSTO REAL]]</f>
        <v>0</v>
      </c>
      <c r="F22" s="9"/>
      <c r="G22" s="23" t="s">
        <v>18</v>
      </c>
      <c r="H22" s="24">
        <v>0</v>
      </c>
      <c r="I22" s="24">
        <v>0</v>
      </c>
      <c r="J22" s="24">
        <f>Entretenimiento15[[#This Row],[COSTO PREVISTO]]-Entretenimiento15[[#This Row],[COSTO REAL]]</f>
        <v>0</v>
      </c>
    </row>
    <row r="23" spans="1:10" ht="24.95" customHeight="1">
      <c r="B23" s="23" t="s">
        <v>17</v>
      </c>
      <c r="C23" s="24">
        <v>0</v>
      </c>
      <c r="D23" s="24">
        <v>0</v>
      </c>
      <c r="E23" s="24">
        <f>Alojamiento14[[#This Row],[COSTO PREVISTO]]-Alojamiento14[[#This Row],[COSTO REAL]]</f>
        <v>0</v>
      </c>
      <c r="F23" s="9"/>
      <c r="G23" s="23" t="s">
        <v>18</v>
      </c>
      <c r="H23" s="24">
        <v>0</v>
      </c>
      <c r="I23" s="24">
        <v>0</v>
      </c>
      <c r="J23" s="24">
        <f>Entretenimiento15[[#This Row],[COSTO PREVISTO]]-Entretenimiento15[[#This Row],[COSTO REAL]]</f>
        <v>0</v>
      </c>
    </row>
    <row r="24" spans="1:10" ht="24.95" customHeight="1">
      <c r="B24" s="23" t="s">
        <v>18</v>
      </c>
      <c r="C24" s="24">
        <v>0</v>
      </c>
      <c r="D24" s="24">
        <v>0</v>
      </c>
      <c r="E24" s="24">
        <f>Alojamiento14[[#This Row],[COSTO PREVISTO]]-Alojamiento14[[#This Row],[COSTO REAL]]</f>
        <v>0</v>
      </c>
      <c r="F24" s="9"/>
      <c r="G24" s="25" t="s">
        <v>19</v>
      </c>
      <c r="H24" s="27" t="s">
        <v>66</v>
      </c>
      <c r="I24" s="27" t="s">
        <v>66</v>
      </c>
      <c r="J24" s="26">
        <f>SUBTOTAL(109,Entretenimiento15[DIFERENCIA])</f>
        <v>0</v>
      </c>
    </row>
    <row r="25" spans="1:10" ht="24.95" customHeight="1">
      <c r="B25" s="25" t="s">
        <v>19</v>
      </c>
      <c r="C25" s="26">
        <f>SUBTOTAL(109,Alojamiento14[COSTO PREVISTO])</f>
        <v>0</v>
      </c>
      <c r="D25" s="26">
        <f>SUBTOTAL(109,Alojamiento14[COSTO REAL])</f>
        <v>0</v>
      </c>
      <c r="E25" s="26">
        <f>SUBTOTAL(109,Alojamiento14[DIFERENCIA])</f>
        <v>0</v>
      </c>
      <c r="F25" s="9"/>
      <c r="G25" s="41"/>
      <c r="H25" s="41"/>
      <c r="I25" s="41"/>
      <c r="J25" s="41"/>
    </row>
    <row r="26" spans="1:10" ht="24.95" customHeight="1">
      <c r="B26" s="41"/>
      <c r="C26" s="41"/>
      <c r="D26" s="41"/>
      <c r="E26" s="41"/>
      <c r="F26" s="9"/>
      <c r="G26" s="21" t="s">
        <v>50</v>
      </c>
      <c r="H26" s="21" t="s">
        <v>76</v>
      </c>
      <c r="I26" s="21" t="s">
        <v>75</v>
      </c>
      <c r="J26" s="21" t="s">
        <v>77</v>
      </c>
    </row>
    <row r="27" spans="1:10" ht="24.95" customHeight="1">
      <c r="A27" s="4" t="s">
        <v>8</v>
      </c>
      <c r="B27" s="21" t="s">
        <v>20</v>
      </c>
      <c r="C27" s="21" t="s">
        <v>40</v>
      </c>
      <c r="D27" s="21" t="s">
        <v>41</v>
      </c>
      <c r="E27" s="21" t="s">
        <v>43</v>
      </c>
      <c r="F27" s="9"/>
      <c r="G27" s="23" t="s">
        <v>51</v>
      </c>
      <c r="H27" s="24">
        <v>0</v>
      </c>
      <c r="I27" s="24">
        <v>0</v>
      </c>
      <c r="J27" s="24">
        <f>Prestamos16[[#This Row],[COSTO PREVISTO]]-Prestamos16[[#This Row],[COSTO REAL]]</f>
        <v>0</v>
      </c>
    </row>
    <row r="28" spans="1:10" ht="24.95" customHeight="1">
      <c r="B28" s="23" t="s">
        <v>62</v>
      </c>
      <c r="C28" s="24">
        <v>0</v>
      </c>
      <c r="D28" s="24">
        <v>0</v>
      </c>
      <c r="E28" s="24">
        <f>Transporte17[[#This Row],[Costo previsto]]-Transporte17[[#This Row],[Costo real]]</f>
        <v>0</v>
      </c>
      <c r="F28" s="9"/>
      <c r="G28" s="23" t="s">
        <v>52</v>
      </c>
      <c r="H28" s="24">
        <v>0</v>
      </c>
      <c r="I28" s="24">
        <v>0</v>
      </c>
      <c r="J28" s="24">
        <f>Prestamos16[[#This Row],[COSTO PREVISTO]]-Prestamos16[[#This Row],[COSTO REAL]]</f>
        <v>0</v>
      </c>
    </row>
    <row r="29" spans="1:10" ht="24.95" customHeight="1">
      <c r="B29" s="23" t="s">
        <v>83</v>
      </c>
      <c r="C29" s="24">
        <v>0</v>
      </c>
      <c r="D29" s="24">
        <v>0</v>
      </c>
      <c r="E29" s="24">
        <f>Transporte17[[#This Row],[Costo previsto]]-Transporte17[[#This Row],[Costo real]]</f>
        <v>0</v>
      </c>
      <c r="F29" s="9"/>
      <c r="G29" s="23" t="s">
        <v>53</v>
      </c>
      <c r="H29" s="24">
        <v>0</v>
      </c>
      <c r="I29" s="24">
        <v>0</v>
      </c>
      <c r="J29" s="24">
        <f>Prestamos16[[#This Row],[COSTO PREVISTO]]-Prestamos16[[#This Row],[COSTO REAL]]</f>
        <v>0</v>
      </c>
    </row>
    <row r="30" spans="1:10" ht="24.95" customHeight="1">
      <c r="B30" s="23" t="s">
        <v>21</v>
      </c>
      <c r="C30" s="24">
        <v>0</v>
      </c>
      <c r="D30" s="24">
        <v>0</v>
      </c>
      <c r="E30" s="24">
        <f>Transporte17[[#This Row],[Costo previsto]]-Transporte17[[#This Row],[Costo real]]</f>
        <v>0</v>
      </c>
      <c r="F30" s="9"/>
      <c r="G30" s="23" t="s">
        <v>53</v>
      </c>
      <c r="H30" s="24">
        <v>0</v>
      </c>
      <c r="I30" s="24">
        <v>0</v>
      </c>
      <c r="J30" s="24">
        <f>Prestamos16[[#This Row],[COSTO PREVISTO]]-Prestamos16[[#This Row],[COSTO REAL]]</f>
        <v>0</v>
      </c>
    </row>
    <row r="31" spans="1:10" ht="24.95" customHeight="1">
      <c r="B31" s="23" t="s">
        <v>22</v>
      </c>
      <c r="C31" s="24">
        <v>0</v>
      </c>
      <c r="D31" s="24">
        <v>0</v>
      </c>
      <c r="E31" s="24">
        <f>Transporte17[[#This Row],[Costo previsto]]-Transporte17[[#This Row],[Costo real]]</f>
        <v>0</v>
      </c>
      <c r="F31" s="9"/>
      <c r="G31" s="23" t="s">
        <v>53</v>
      </c>
      <c r="H31" s="24">
        <v>0</v>
      </c>
      <c r="I31" s="24">
        <v>0</v>
      </c>
      <c r="J31" s="24">
        <f>Prestamos16[[#This Row],[COSTO PREVISTO]]-Prestamos16[[#This Row],[COSTO REAL]]</f>
        <v>0</v>
      </c>
    </row>
    <row r="32" spans="1:10" ht="24.95" customHeight="1">
      <c r="B32" s="23" t="s">
        <v>23</v>
      </c>
      <c r="C32" s="24">
        <v>0</v>
      </c>
      <c r="D32" s="24">
        <v>0</v>
      </c>
      <c r="E32" s="24">
        <f>Transporte17[[#This Row],[Costo previsto]]-Transporte17[[#This Row],[Costo real]]</f>
        <v>0</v>
      </c>
      <c r="F32" s="9"/>
      <c r="G32" s="23" t="s">
        <v>18</v>
      </c>
      <c r="H32" s="24">
        <v>0</v>
      </c>
      <c r="I32" s="24">
        <v>0</v>
      </c>
      <c r="J32" s="24">
        <f>Prestamos16[[#This Row],[COSTO PREVISTO]]-Prestamos16[[#This Row],[COSTO REAL]]</f>
        <v>0</v>
      </c>
    </row>
    <row r="33" spans="1:10" ht="24.95" customHeight="1">
      <c r="B33" s="23" t="s">
        <v>24</v>
      </c>
      <c r="C33" s="24">
        <v>0</v>
      </c>
      <c r="D33" s="24">
        <v>0</v>
      </c>
      <c r="E33" s="24">
        <f>Transporte17[[#This Row],[Costo previsto]]-Transporte17[[#This Row],[Costo real]]</f>
        <v>0</v>
      </c>
      <c r="F33" s="9"/>
      <c r="G33" s="25" t="s">
        <v>19</v>
      </c>
      <c r="H33" s="27" t="s">
        <v>66</v>
      </c>
      <c r="I33" s="27" t="s">
        <v>66</v>
      </c>
      <c r="J33" s="26">
        <f>SUBTOTAL(109,Prestamos16[DIFERENCIA])</f>
        <v>0</v>
      </c>
    </row>
    <row r="34" spans="1:10" ht="24.95" customHeight="1">
      <c r="B34" s="23" t="s">
        <v>64</v>
      </c>
      <c r="C34" s="24">
        <v>0</v>
      </c>
      <c r="D34" s="24">
        <v>0</v>
      </c>
      <c r="E34" s="24">
        <f>Transporte17[[#This Row],[Costo previsto]]-Transporte17[[#This Row],[Costo real]]</f>
        <v>0</v>
      </c>
      <c r="F34" s="9"/>
      <c r="G34" s="41"/>
      <c r="H34" s="41"/>
      <c r="I34" s="41"/>
      <c r="J34" s="41"/>
    </row>
    <row r="35" spans="1:10" ht="24.95" customHeight="1">
      <c r="B35" s="25" t="s">
        <v>19</v>
      </c>
      <c r="C35" s="26">
        <f>SUBTOTAL(109,Transporte17[Costo previsto])</f>
        <v>0</v>
      </c>
      <c r="D35" s="26">
        <f>SUBTOTAL(109,Transporte17[Costo real])</f>
        <v>0</v>
      </c>
      <c r="E35" s="26">
        <f>SUBTOTAL(109,Transporte17[Diferencia])</f>
        <v>0</v>
      </c>
      <c r="F35" s="9"/>
      <c r="G35" s="21" t="s">
        <v>54</v>
      </c>
      <c r="H35" s="21" t="s">
        <v>76</v>
      </c>
      <c r="I35" s="21" t="s">
        <v>75</v>
      </c>
      <c r="J35" s="21" t="s">
        <v>77</v>
      </c>
    </row>
    <row r="36" spans="1:10" ht="24.95" customHeight="1">
      <c r="B36" s="41"/>
      <c r="C36" s="41"/>
      <c r="D36" s="41"/>
      <c r="E36" s="41"/>
      <c r="F36" s="9"/>
      <c r="G36" s="23" t="s">
        <v>55</v>
      </c>
      <c r="H36" s="24">
        <v>0</v>
      </c>
      <c r="I36" s="24">
        <v>0</v>
      </c>
      <c r="J36" s="24">
        <f>Impuestos19[[#This Row],[COSTO PREVISTO]]-Impuestos19[[#This Row],[COSTO REAL]]</f>
        <v>0</v>
      </c>
    </row>
    <row r="37" spans="1:10" ht="24.95" customHeight="1">
      <c r="A37" s="4" t="s">
        <v>9</v>
      </c>
      <c r="B37" s="21" t="s">
        <v>25</v>
      </c>
      <c r="C37" s="21" t="s">
        <v>76</v>
      </c>
      <c r="D37" s="21" t="s">
        <v>75</v>
      </c>
      <c r="E37" s="21" t="s">
        <v>77</v>
      </c>
      <c r="F37" s="9"/>
      <c r="G37" s="23" t="s">
        <v>56</v>
      </c>
      <c r="H37" s="24">
        <v>0</v>
      </c>
      <c r="I37" s="24">
        <v>0</v>
      </c>
      <c r="J37" s="24">
        <f>Impuestos19[[#This Row],[COSTO PREVISTO]]-Impuestos19[[#This Row],[COSTO REAL]]</f>
        <v>0</v>
      </c>
    </row>
    <row r="38" spans="1:10" ht="24.95" customHeight="1">
      <c r="B38" s="23" t="s">
        <v>26</v>
      </c>
      <c r="C38" s="24">
        <v>0</v>
      </c>
      <c r="D38" s="24">
        <v>0</v>
      </c>
      <c r="E38" s="24">
        <f>Seguro18[[#This Row],[COSTO PREVISTO]]-Seguro18[[#This Row],[COSTO REAL]]</f>
        <v>0</v>
      </c>
      <c r="F38" s="9"/>
      <c r="G38" s="23" t="s">
        <v>57</v>
      </c>
      <c r="H38" s="24">
        <v>0</v>
      </c>
      <c r="I38" s="24">
        <v>0</v>
      </c>
      <c r="J38" s="24">
        <f>Impuestos19[[#This Row],[COSTO PREVISTO]]-Impuestos19[[#This Row],[COSTO REAL]]</f>
        <v>0</v>
      </c>
    </row>
    <row r="39" spans="1:10" ht="24.95" customHeight="1">
      <c r="B39" s="23" t="s">
        <v>98</v>
      </c>
      <c r="C39" s="24">
        <v>0</v>
      </c>
      <c r="D39" s="24">
        <v>0</v>
      </c>
      <c r="E39" s="24">
        <f>Seguro18[[#This Row],[COSTO PREVISTO]]-Seguro18[[#This Row],[COSTO REAL]]</f>
        <v>0</v>
      </c>
      <c r="F39" s="9"/>
      <c r="G39" s="23" t="s">
        <v>18</v>
      </c>
      <c r="H39" s="24">
        <v>0</v>
      </c>
      <c r="I39" s="24">
        <v>0</v>
      </c>
      <c r="J39" s="24">
        <f>Impuestos19[[#This Row],[COSTO PREVISTO]]-Impuestos19[[#This Row],[COSTO REAL]]</f>
        <v>0</v>
      </c>
    </row>
    <row r="40" spans="1:10" ht="24.95" customHeight="1">
      <c r="B40" s="23" t="s">
        <v>27</v>
      </c>
      <c r="C40" s="24">
        <v>0</v>
      </c>
      <c r="D40" s="24">
        <v>0</v>
      </c>
      <c r="E40" s="24">
        <f>Seguro18[[#This Row],[COSTO PREVISTO]]-Seguro18[[#This Row],[COSTO REAL]]</f>
        <v>0</v>
      </c>
      <c r="F40" s="9"/>
      <c r="G40" s="25" t="s">
        <v>19</v>
      </c>
      <c r="H40" s="27" t="s">
        <v>66</v>
      </c>
      <c r="I40" s="27" t="s">
        <v>66</v>
      </c>
      <c r="J40" s="26">
        <f>SUBTOTAL(109,Impuestos19[DIFERENCIA])</f>
        <v>0</v>
      </c>
    </row>
    <row r="41" spans="1:10" ht="24.95" customHeight="1">
      <c r="B41" s="23" t="s">
        <v>18</v>
      </c>
      <c r="C41" s="24">
        <v>0</v>
      </c>
      <c r="D41" s="24">
        <v>0</v>
      </c>
      <c r="E41" s="24">
        <f>Seguro18[[#This Row],[COSTO PREVISTO]]-Seguro18[[#This Row],[COSTO REAL]]</f>
        <v>0</v>
      </c>
      <c r="F41" s="9"/>
      <c r="G41" s="41"/>
      <c r="H41" s="41"/>
      <c r="I41" s="41"/>
      <c r="J41" s="41"/>
    </row>
    <row r="42" spans="1:10" ht="24.95" customHeight="1">
      <c r="B42" s="25" t="s">
        <v>19</v>
      </c>
      <c r="C42" s="26">
        <f>SUBTOTAL(109,Seguro18[COSTO PREVISTO])</f>
        <v>0</v>
      </c>
      <c r="D42" s="26">
        <f>SUBTOTAL(109,Seguro18[COSTO REAL])</f>
        <v>0</v>
      </c>
      <c r="E42" s="26">
        <f>SUBTOTAL(109,Seguro18[DIFERENCIA])</f>
        <v>0</v>
      </c>
      <c r="F42" s="9"/>
      <c r="G42" s="21" t="s">
        <v>58</v>
      </c>
      <c r="H42" s="21" t="s">
        <v>76</v>
      </c>
      <c r="I42" s="21" t="s">
        <v>75</v>
      </c>
      <c r="J42" s="21" t="s">
        <v>77</v>
      </c>
    </row>
    <row r="43" spans="1:10" ht="24.95" customHeight="1">
      <c r="B43" s="41"/>
      <c r="C43" s="41"/>
      <c r="D43" s="41"/>
      <c r="E43" s="41"/>
      <c r="F43" s="9"/>
      <c r="G43" s="23" t="s">
        <v>96</v>
      </c>
      <c r="H43" s="24">
        <v>0</v>
      </c>
      <c r="I43" s="24">
        <v>0</v>
      </c>
      <c r="J43" s="24">
        <f>Ahorros20[[#This Row],[COSTO PREVISTO]]-Ahorros20[[#This Row],[COSTO REAL]]</f>
        <v>0</v>
      </c>
    </row>
    <row r="44" spans="1:10" ht="24.95" customHeight="1">
      <c r="A44" s="4" t="s">
        <v>10</v>
      </c>
      <c r="B44" s="21" t="s">
        <v>28</v>
      </c>
      <c r="C44" s="21" t="s">
        <v>76</v>
      </c>
      <c r="D44" s="21" t="s">
        <v>75</v>
      </c>
      <c r="E44" s="21" t="s">
        <v>77</v>
      </c>
      <c r="F44" s="9"/>
      <c r="G44" s="23" t="s">
        <v>97</v>
      </c>
      <c r="H44" s="24">
        <v>0</v>
      </c>
      <c r="I44" s="24">
        <v>0</v>
      </c>
      <c r="J44" s="24">
        <f>Ahorros20[[#This Row],[COSTO PREVISTO]]-Ahorros20[[#This Row],[COSTO REAL]]</f>
        <v>0</v>
      </c>
    </row>
    <row r="45" spans="1:10" ht="24.95" customHeight="1">
      <c r="B45" s="23" t="s">
        <v>29</v>
      </c>
      <c r="C45" s="24">
        <v>0</v>
      </c>
      <c r="D45" s="24">
        <v>0</v>
      </c>
      <c r="E45" s="24">
        <f>Comida21[[#This Row],[COSTO PREVISTO]]-Comida21[[#This Row],[COSTO REAL]]</f>
        <v>0</v>
      </c>
      <c r="F45" s="9"/>
      <c r="G45" s="23" t="s">
        <v>18</v>
      </c>
      <c r="H45" s="24">
        <v>0</v>
      </c>
      <c r="I45" s="24">
        <v>0</v>
      </c>
      <c r="J45" s="24">
        <f>Ahorros20[[#This Row],[COSTO PREVISTO]]-Ahorros20[[#This Row],[COSTO REAL]]</f>
        <v>0</v>
      </c>
    </row>
    <row r="46" spans="1:10" ht="24.95" customHeight="1">
      <c r="B46" s="23" t="s">
        <v>30</v>
      </c>
      <c r="C46" s="24">
        <v>0</v>
      </c>
      <c r="D46" s="24">
        <v>0</v>
      </c>
      <c r="E46" s="24">
        <f>Comida21[[#This Row],[COSTO PREVISTO]]-Comida21[[#This Row],[COSTO REAL]]</f>
        <v>0</v>
      </c>
      <c r="F46" s="9"/>
      <c r="G46" s="25" t="s">
        <v>19</v>
      </c>
      <c r="H46" s="27" t="s">
        <v>66</v>
      </c>
      <c r="I46" s="27" t="s">
        <v>66</v>
      </c>
      <c r="J46" s="26">
        <f>SUBTOTAL(109,Ahorros20[DIFERENCIA])</f>
        <v>0</v>
      </c>
    </row>
    <row r="47" spans="1:10" ht="24.95" customHeight="1">
      <c r="B47" s="23" t="s">
        <v>65</v>
      </c>
      <c r="C47" s="24">
        <v>0</v>
      </c>
      <c r="D47" s="24">
        <v>0</v>
      </c>
      <c r="E47" s="24">
        <f>Comida21[[#This Row],[COSTO PREVISTO]]-Comida21[[#This Row],[COSTO REAL]]</f>
        <v>0</v>
      </c>
      <c r="F47" s="9"/>
      <c r="G47" s="41"/>
      <c r="H47" s="41"/>
      <c r="I47" s="41"/>
      <c r="J47" s="41"/>
    </row>
    <row r="48" spans="1:10" ht="24.95" customHeight="1">
      <c r="B48" s="25" t="s">
        <v>19</v>
      </c>
      <c r="C48" s="26">
        <f>SUBTOTAL(109,Comida21[COSTO PREVISTO])</f>
        <v>0</v>
      </c>
      <c r="D48" s="26">
        <f>SUBTOTAL(109,Comida21[COSTO REAL])</f>
        <v>0</v>
      </c>
      <c r="E48" s="26">
        <f>SUBTOTAL(109,Comida21[DIFERENCIA])</f>
        <v>0</v>
      </c>
      <c r="F48" s="9"/>
      <c r="G48" s="21" t="s">
        <v>79</v>
      </c>
      <c r="H48" s="21" t="s">
        <v>76</v>
      </c>
      <c r="I48" s="21" t="s">
        <v>80</v>
      </c>
      <c r="J48" s="21" t="s">
        <v>77</v>
      </c>
    </row>
    <row r="49" spans="1:10" ht="24.95" customHeight="1">
      <c r="B49" s="41"/>
      <c r="C49" s="41"/>
      <c r="D49" s="41"/>
      <c r="E49" s="41"/>
      <c r="F49" s="9"/>
      <c r="G49" s="23" t="s">
        <v>85</v>
      </c>
      <c r="H49" s="24">
        <v>0</v>
      </c>
      <c r="I49" s="24">
        <v>0</v>
      </c>
      <c r="J49" s="24">
        <f>Regalos22[[#This Row],[COSTO PREVISTO]]-Regalos22[[#This Row],[COSTO REAL ]]</f>
        <v>0</v>
      </c>
    </row>
    <row r="50" spans="1:10" ht="24.95" customHeight="1">
      <c r="A50" s="4" t="s">
        <v>11</v>
      </c>
      <c r="B50" s="21" t="s">
        <v>31</v>
      </c>
      <c r="C50" s="21" t="s">
        <v>76</v>
      </c>
      <c r="D50" s="21" t="s">
        <v>75</v>
      </c>
      <c r="E50" s="21" t="s">
        <v>77</v>
      </c>
      <c r="F50" s="9"/>
      <c r="G50" s="23" t="s">
        <v>84</v>
      </c>
      <c r="H50" s="24">
        <v>0</v>
      </c>
      <c r="I50" s="24">
        <v>0</v>
      </c>
      <c r="J50" s="24">
        <f>Regalos22[[#This Row],[COSTO PREVISTO]]-Regalos22[[#This Row],[COSTO REAL ]]</f>
        <v>0</v>
      </c>
    </row>
    <row r="51" spans="1:10" ht="24.95" customHeight="1">
      <c r="B51" s="23" t="s">
        <v>32</v>
      </c>
      <c r="C51" s="24">
        <v>0</v>
      </c>
      <c r="D51" s="24">
        <v>0</v>
      </c>
      <c r="E51" s="24">
        <f>Mascotas23[[#This Row],[COSTO PREVISTO]]-Mascotas23[[#This Row],[COSTO REAL]]</f>
        <v>0</v>
      </c>
      <c r="F51" s="9"/>
      <c r="G51" s="23" t="s">
        <v>63</v>
      </c>
      <c r="H51" s="24">
        <v>0</v>
      </c>
      <c r="I51" s="24">
        <v>0</v>
      </c>
      <c r="J51" s="24">
        <f>Regalos22[[#This Row],[COSTO PREVISTO]]-Regalos22[[#This Row],[COSTO REAL ]]</f>
        <v>0</v>
      </c>
    </row>
    <row r="52" spans="1:10" ht="24.95" customHeight="1">
      <c r="B52" s="23" t="s">
        <v>33</v>
      </c>
      <c r="C52" s="24">
        <v>0</v>
      </c>
      <c r="D52" s="24">
        <v>0</v>
      </c>
      <c r="E52" s="24">
        <f>Mascotas23[[#This Row],[COSTO PREVISTO]]-Mascotas23[[#This Row],[COSTO REAL]]</f>
        <v>0</v>
      </c>
      <c r="F52" s="9"/>
      <c r="G52" s="25" t="s">
        <v>19</v>
      </c>
      <c r="H52" s="27">
        <f>SUBTOTAL(109,Regalos22[COSTO PREVISTO])</f>
        <v>0</v>
      </c>
      <c r="I52" s="27" t="s">
        <v>66</v>
      </c>
      <c r="J52" s="26">
        <f>SUBTOTAL(109,Regalos22[DIFERENCIA])</f>
        <v>0</v>
      </c>
    </row>
    <row r="53" spans="1:10" ht="24.95" customHeight="1">
      <c r="B53" s="23" t="s">
        <v>34</v>
      </c>
      <c r="C53" s="24">
        <v>0</v>
      </c>
      <c r="D53" s="24">
        <v>0</v>
      </c>
      <c r="E53" s="24">
        <f>Mascotas23[[#This Row],[COSTO PREVISTO]]-Mascotas23[[#This Row],[COSTO REAL]]</f>
        <v>0</v>
      </c>
      <c r="F53" s="9"/>
      <c r="G53" s="41"/>
      <c r="H53" s="41"/>
      <c r="I53" s="41"/>
      <c r="J53" s="41"/>
    </row>
    <row r="54" spans="1:10" ht="24.95" customHeight="1">
      <c r="B54" s="23" t="s">
        <v>35</v>
      </c>
      <c r="C54" s="24">
        <v>0</v>
      </c>
      <c r="D54" s="24">
        <v>0</v>
      </c>
      <c r="E54" s="24">
        <f>Mascotas23[[#This Row],[COSTO PREVISTO]]-Mascotas23[[#This Row],[COSTO REAL]]</f>
        <v>0</v>
      </c>
      <c r="F54" s="9"/>
      <c r="G54" s="21" t="s">
        <v>59</v>
      </c>
      <c r="H54" s="21" t="s">
        <v>76</v>
      </c>
      <c r="I54" s="21" t="s">
        <v>75</v>
      </c>
      <c r="J54" s="21" t="s">
        <v>77</v>
      </c>
    </row>
    <row r="55" spans="1:10" ht="24.95" customHeight="1">
      <c r="B55" s="23" t="s">
        <v>18</v>
      </c>
      <c r="C55" s="24">
        <v>0</v>
      </c>
      <c r="D55" s="24">
        <v>0</v>
      </c>
      <c r="E55" s="24">
        <f>Mascotas23[[#This Row],[COSTO PREVISTO]]-Mascotas23[[#This Row],[COSTO REAL]]</f>
        <v>0</v>
      </c>
      <c r="F55" s="9"/>
      <c r="G55" s="23" t="s">
        <v>60</v>
      </c>
      <c r="H55" s="24">
        <v>0</v>
      </c>
      <c r="I55" s="24">
        <v>0</v>
      </c>
      <c r="J55" s="24">
        <f>Legal24[[#This Row],[COSTO PREVISTO]]-Legal24[[#This Row],[COSTO REAL]]</f>
        <v>0</v>
      </c>
    </row>
    <row r="56" spans="1:10" ht="24.95" customHeight="1">
      <c r="B56" s="25" t="s">
        <v>19</v>
      </c>
      <c r="C56" s="26">
        <f>SUBTOTAL(109,Mascotas23[COSTO PREVISTO])</f>
        <v>0</v>
      </c>
      <c r="D56" s="26">
        <f>SUBTOTAL(109,Mascotas23[COSTO REAL])</f>
        <v>0</v>
      </c>
      <c r="E56" s="26">
        <f>SUBTOTAL(109,Mascotas23[DIFERENCIA])</f>
        <v>0</v>
      </c>
      <c r="F56" s="9"/>
      <c r="G56" s="23" t="s">
        <v>86</v>
      </c>
      <c r="H56" s="24">
        <v>0</v>
      </c>
      <c r="I56" s="24">
        <v>0</v>
      </c>
      <c r="J56" s="24">
        <f>Legal24[[#This Row],[COSTO PREVISTO]]-Legal24[[#This Row],[COSTO REAL]]</f>
        <v>0</v>
      </c>
    </row>
    <row r="57" spans="1:10" ht="24.95" customHeight="1">
      <c r="B57" s="41"/>
      <c r="C57" s="41"/>
      <c r="D57" s="41"/>
      <c r="E57" s="41"/>
      <c r="F57" s="9"/>
      <c r="G57" s="23" t="s">
        <v>87</v>
      </c>
      <c r="H57" s="24">
        <v>0</v>
      </c>
      <c r="I57" s="24">
        <v>0</v>
      </c>
      <c r="J57" s="24">
        <f>Legal24[[#This Row],[COSTO PREVISTO]]-Legal24[[#This Row],[COSTO REAL]]</f>
        <v>0</v>
      </c>
    </row>
    <row r="58" spans="1:10" ht="24.95" customHeight="1">
      <c r="A58" s="4" t="s">
        <v>12</v>
      </c>
      <c r="B58" s="21" t="s">
        <v>36</v>
      </c>
      <c r="C58" s="21" t="s">
        <v>40</v>
      </c>
      <c r="D58" s="21" t="s">
        <v>42</v>
      </c>
      <c r="E58" s="21" t="s">
        <v>43</v>
      </c>
      <c r="F58" s="9"/>
      <c r="G58" s="23" t="s">
        <v>18</v>
      </c>
      <c r="H58" s="24">
        <v>0</v>
      </c>
      <c r="I58" s="24">
        <v>0</v>
      </c>
      <c r="J58" s="24">
        <f>Legal24[[#This Row],[COSTO PREVISTO]]-Legal24[[#This Row],[COSTO REAL]]</f>
        <v>0</v>
      </c>
    </row>
    <row r="59" spans="1:10" ht="24.95" customHeight="1">
      <c r="B59" s="23" t="s">
        <v>33</v>
      </c>
      <c r="C59" s="24">
        <v>0</v>
      </c>
      <c r="D59" s="24">
        <v>0</v>
      </c>
      <c r="E59" s="24">
        <f>CuidadoPersonal25[[#This Row],[Costo previsto]]-CuidadoPersonal25[[#This Row],[Coste real]]</f>
        <v>0</v>
      </c>
      <c r="F59" s="9"/>
      <c r="G59" s="25" t="s">
        <v>19</v>
      </c>
      <c r="H59" s="27" t="s">
        <v>66</v>
      </c>
      <c r="I59" s="27" t="s">
        <v>66</v>
      </c>
      <c r="J59" s="26">
        <f>SUBTOTAL(109,Legal24[DIFERENCIA])</f>
        <v>0</v>
      </c>
    </row>
    <row r="60" spans="1:10" ht="24.95" customHeight="1">
      <c r="B60" s="23" t="s">
        <v>95</v>
      </c>
      <c r="C60" s="24">
        <v>0</v>
      </c>
      <c r="D60" s="24">
        <v>0</v>
      </c>
      <c r="E60" s="24">
        <f>CuidadoPersonal25[[#This Row],[Costo previsto]]-CuidadoPersonal25[[#This Row],[Coste real]]</f>
        <v>0</v>
      </c>
      <c r="F60" s="9"/>
      <c r="G60" s="41"/>
      <c r="H60" s="41"/>
      <c r="I60" s="41"/>
      <c r="J60" s="41"/>
    </row>
    <row r="61" spans="1:10" ht="24.95" customHeight="1">
      <c r="A61" s="4" t="s">
        <v>13</v>
      </c>
      <c r="B61" s="23" t="s">
        <v>37</v>
      </c>
      <c r="C61" s="24">
        <v>0</v>
      </c>
      <c r="D61" s="24">
        <v>0</v>
      </c>
      <c r="E61" s="24">
        <f>CuidadoPersonal25[[#This Row],[Costo previsto]]-CuidadoPersonal25[[#This Row],[Coste real]]</f>
        <v>0</v>
      </c>
      <c r="F61" s="9"/>
      <c r="G61" s="35" t="s">
        <v>89</v>
      </c>
      <c r="H61" s="35"/>
      <c r="I61" s="35"/>
      <c r="J61" s="40">
        <f>SUBTOTAL(109,Alojamiento14[COSTO PREVISTO],Transporte17[Costo previsto],Seguro18[COSTO PREVISTO],Comida21[COSTO PREVISTO],Mascotas23[COSTO PREVISTO],CuidadoPersonal25[Costo previsto],Entretenimiento15[COSTO PREVISTO],Prestamos16[COSTO PREVISTO],Impuestos19[COSTO PREVISTO],Ahorros20[COSTO PREVISTO],Regalos22[COSTO PREVISTO],Legal24[COSTO PREVISTO])</f>
        <v>0</v>
      </c>
    </row>
    <row r="62" spans="1:10" ht="24.95" customHeight="1">
      <c r="B62" s="23" t="s">
        <v>38</v>
      </c>
      <c r="C62" s="24">
        <v>0</v>
      </c>
      <c r="D62" s="24">
        <v>0</v>
      </c>
      <c r="E62" s="24">
        <f>CuidadoPersonal25[[#This Row],[Costo previsto]]-CuidadoPersonal25[[#This Row],[Coste real]]</f>
        <v>0</v>
      </c>
      <c r="F62" s="9"/>
      <c r="G62" s="35"/>
      <c r="H62" s="35"/>
      <c r="I62" s="35"/>
      <c r="J62" s="40"/>
    </row>
    <row r="63" spans="1:10" ht="24.95" customHeight="1">
      <c r="B63" s="23" t="s">
        <v>39</v>
      </c>
      <c r="C63" s="24">
        <v>0</v>
      </c>
      <c r="D63" s="24">
        <v>0</v>
      </c>
      <c r="E63" s="24">
        <f>CuidadoPersonal25[[#This Row],[Costo previsto]]-CuidadoPersonal25[[#This Row],[Coste real]]</f>
        <v>0</v>
      </c>
      <c r="F63" s="9"/>
      <c r="G63" s="35" t="s">
        <v>90</v>
      </c>
      <c r="H63" s="35"/>
      <c r="I63" s="35"/>
      <c r="J63" s="40">
        <f>SUBTOTAL(109,Alojamiento14[COSTO REAL],Transporte17[Costo real],Seguro18[COSTO REAL],Comida21[COSTO REAL],Mascotas23[COSTO REAL],CuidadoPersonal25[Coste real],Entretenimiento15[COSTO REAL],Prestamos16[COSTO REAL],Impuestos19[COSTO REAL],Ahorros20[COSTO REAL],Regalos22[[COSTO REAL ]],Legal24[COSTO REAL])</f>
        <v>0</v>
      </c>
    </row>
    <row r="64" spans="1:10" ht="24.95" customHeight="1">
      <c r="B64" s="23" t="s">
        <v>88</v>
      </c>
      <c r="C64" s="24">
        <v>0</v>
      </c>
      <c r="D64" s="24">
        <v>0</v>
      </c>
      <c r="E64" s="24">
        <f>CuidadoPersonal25[[#This Row],[Costo previsto]]-CuidadoPersonal25[[#This Row],[Coste real]]</f>
        <v>0</v>
      </c>
      <c r="F64" s="9"/>
      <c r="G64" s="35"/>
      <c r="H64" s="35"/>
      <c r="I64" s="35"/>
      <c r="J64" s="40"/>
    </row>
    <row r="65" spans="2:10" ht="24.95" customHeight="1">
      <c r="B65" s="23" t="s">
        <v>18</v>
      </c>
      <c r="C65" s="24">
        <v>0</v>
      </c>
      <c r="D65" s="24">
        <v>0</v>
      </c>
      <c r="E65" s="24">
        <f>CuidadoPersonal25[[#This Row],[Costo previsto]]-CuidadoPersonal25[[#This Row],[Coste real]]</f>
        <v>0</v>
      </c>
      <c r="F65" s="9"/>
      <c r="G65" s="35" t="s">
        <v>91</v>
      </c>
      <c r="H65" s="35"/>
      <c r="I65" s="35"/>
      <c r="J65" s="40">
        <f>J61-J63</f>
        <v>0</v>
      </c>
    </row>
    <row r="66" spans="2:10" ht="24.95" customHeight="1">
      <c r="B66" s="25" t="s">
        <v>19</v>
      </c>
      <c r="C66" s="26">
        <f>SUBTOTAL(109,CuidadoPersonal25[Costo previsto])</f>
        <v>0</v>
      </c>
      <c r="D66" s="26">
        <f>SUBTOTAL(109,CuidadoPersonal25[Coste real])</f>
        <v>0</v>
      </c>
      <c r="E66" s="26">
        <f>SUBTOTAL(109,CuidadoPersonal25[Diferencia])</f>
        <v>0</v>
      </c>
      <c r="F66" s="9"/>
      <c r="G66" s="35"/>
      <c r="H66" s="35"/>
      <c r="I66" s="35"/>
      <c r="J66" s="40"/>
    </row>
    <row r="67" spans="2:10">
      <c r="B67" s="42"/>
      <c r="C67" s="42"/>
      <c r="D67" s="42"/>
      <c r="E67" s="42"/>
    </row>
  </sheetData>
  <mergeCells count="26">
    <mergeCell ref="G63:I64"/>
    <mergeCell ref="J63:J64"/>
    <mergeCell ref="G65:I66"/>
    <mergeCell ref="J65:J66"/>
    <mergeCell ref="B67:E67"/>
    <mergeCell ref="G61:I62"/>
    <mergeCell ref="J61:J62"/>
    <mergeCell ref="G25:J25"/>
    <mergeCell ref="B26:E26"/>
    <mergeCell ref="G34:J34"/>
    <mergeCell ref="B36:E36"/>
    <mergeCell ref="G41:J41"/>
    <mergeCell ref="B43:E43"/>
    <mergeCell ref="G47:J47"/>
    <mergeCell ref="B49:E49"/>
    <mergeCell ref="G53:J53"/>
    <mergeCell ref="B57:E57"/>
    <mergeCell ref="G60:J60"/>
    <mergeCell ref="E8:G9"/>
    <mergeCell ref="H8:H9"/>
    <mergeCell ref="B9:C9"/>
    <mergeCell ref="B4:C4"/>
    <mergeCell ref="E4:G5"/>
    <mergeCell ref="H4:H5"/>
    <mergeCell ref="E6:G7"/>
    <mergeCell ref="H6:H7"/>
  </mergeCells>
  <dataValidations count="12">
    <dataValidation allowBlank="1" showInputMessage="1" showErrorMessage="1" prompt="El total de gastos previstos se calcula automáticamente en la celda J61; el total del gasto real, en la J63; y la diferencia total, en la celda J65." sqref="A61"/>
    <dataValidation allowBlank="1" showInputMessage="1" showErrorMessage="1" prompt="Escriba la información en la tabla Cuidado personal, empezando por la celda de la derecha y en la tabla Legal, empezando por la celda G54. La instrucción siguiente se encuentra en la celda A61." sqref="A58"/>
    <dataValidation allowBlank="1" showInputMessage="1" showErrorMessage="1" prompt="Escriba la información en la tabla Mascotas, empezando por la celda de la derecha y en la tabla Regalos, empezando por la celda G48. La instrucción siguiente se encuentra en la celda A58." sqref="A50"/>
    <dataValidation allowBlank="1" showInputMessage="1" showErrorMessage="1" prompt="Escriba la información en la tabla Comida, empezando por la celda de la derecha y en la tabla Ahorros, empezando por la celda G42. La instrucción siguiente se encuentra en la celda A50." sqref="A44"/>
    <dataValidation allowBlank="1" showInputMessage="1" showErrorMessage="1" prompt="Escriba la información en la tabla Seguro, empezando por la celda de la derecha y en la tabla Impuestos, empezando por la celda G35. La instrucción siguiente se encuentra en la celda A44." sqref="A37"/>
    <dataValidation allowBlank="1" showInputMessage="1" showErrorMessage="1" prompt="Escriba la información en la tabla Transporte, empezando por la celda de la derecha y en la tabla Préstamos, empezando por la celda G26. La instrucción siguiente se encuentra en la celda A37." sqref="A27"/>
    <dataValidation allowBlank="1" showInputMessage="1" showErrorMessage="1" prompt="Escriba la información en la tabla Alojamiento, empezando por la celda de la derecha y en la tabla Entretenimiento, empezando por la celda G14. La instrucción siguiente se encuentra en la celda A27." sqref="A14"/>
    <dataValidation allowBlank="1" showInputMessage="1" showErrorMessage="1" prompt="La etiqueta Ingresos mensuales reales está en la celda de la derecha. Escriba el Ingreso 1 en la celda C10 y el Ingreso adicional en la C11 para calcular el total de ingresos mensuales en la celda C12. La instrucción siguiente está en la celda A14." sqref="A9"/>
    <dataValidation allowBlank="1" showInputMessage="1" showErrorMessage="1" prompt="El saldo previsto se calcula automáticamente en la celda H4; el saldo real, en la H6; y la diferencia, en la celda H8. La instrucción siguiente se encuentra en la celda A9." sqref="A7"/>
    <dataValidation allowBlank="1" showInputMessage="1" showErrorMessage="1" prompt="La etiqueta Ingresos mensuales previstos está en la celda de la derecha. Escriba el Ingreso 1 en la celda C5 y el Ingreso adicional en la C6 para calcular el total de ingresos mensuales en la celda C7. La instrucción siguiente se encuentra en la celda A7." sqref="A4"/>
    <dataValidation allowBlank="1" showInputMessage="1" showErrorMessage="1" prompt="El título de esta hoja de cálculo está en la celda C2. La instrucción siguiente se encuentra en la celda A4." sqref="A2"/>
    <dataValidation allowBlank="1" showInputMessage="1" showErrorMessage="1" prompt="Cree un presupuesto mensual personal en esta hoja de cálculo. Encontrará instrucciones útiles sobre cómo usar este libro en las celdas de esta columna. Use la flecha hacia abajo para empezar." sqref="A1"/>
  </dataValidations>
  <pageMargins left="0.7" right="0.7" top="0.75" bottom="0.75" header="0.3" footer="0.3"/>
  <pageSetup paperSize="9" orientation="portrait" r:id="rId1"/>
  <drawing r:id="rId2"/>
  <tableParts count="12">
    <tablePart r:id="rId3"/>
    <tablePart r:id="rId4"/>
    <tablePart r:id="rId5"/>
    <tablePart r:id="rId6"/>
    <tablePart r:id="rId7"/>
    <tablePart r:id="rId8"/>
    <tablePart r:id="rId9"/>
    <tablePart r:id="rId10"/>
    <tablePart r:id="rId11"/>
    <tablePart r:id="rId12"/>
    <tablePart r:id="rId13"/>
    <tablePart r:id="rId14"/>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O67"/>
  <sheetViews>
    <sheetView zoomScale="70" zoomScaleNormal="70" workbookViewId="0">
      <selection activeCell="I70" sqref="I70"/>
    </sheetView>
  </sheetViews>
  <sheetFormatPr baseColWidth="10" defaultColWidth="9" defaultRowHeight="12.75"/>
  <cols>
    <col min="1" max="1" width="2.625" style="4" customWidth="1"/>
    <col min="2" max="2" width="34.875" customWidth="1"/>
    <col min="3" max="3" width="20.875" customWidth="1"/>
    <col min="4" max="4" width="17.625" customWidth="1"/>
    <col min="5" max="5" width="16" customWidth="1"/>
    <col min="6" max="6" width="2.625" customWidth="1"/>
    <col min="7" max="7" width="34.875" customWidth="1"/>
    <col min="8" max="8" width="19.625" customWidth="1"/>
    <col min="9" max="9" width="16.25" customWidth="1"/>
    <col min="10" max="10" width="17.625" customWidth="1"/>
    <col min="11" max="11" width="2.625" customWidth="1"/>
  </cols>
  <sheetData>
    <row r="1" spans="1:15" s="1" customFormat="1" ht="14.25">
      <c r="A1" s="3" t="s">
        <v>2</v>
      </c>
    </row>
    <row r="2" spans="1:15" s="1" customFormat="1" ht="71.25" customHeight="1">
      <c r="A2" s="10" t="s">
        <v>3</v>
      </c>
      <c r="B2" s="12"/>
      <c r="C2" s="13"/>
      <c r="D2" s="14"/>
      <c r="E2" s="14"/>
      <c r="F2" s="14"/>
      <c r="G2" s="14"/>
      <c r="H2" s="14"/>
      <c r="I2" s="15"/>
      <c r="J2" s="15"/>
      <c r="K2" s="12"/>
    </row>
    <row r="3" spans="1:15">
      <c r="B3" s="16"/>
      <c r="C3" s="16"/>
      <c r="D3" s="16"/>
      <c r="E3" s="16"/>
      <c r="F3" s="16"/>
      <c r="G3" s="16"/>
      <c r="H3" s="16"/>
      <c r="I3" s="16"/>
      <c r="J3" s="16"/>
      <c r="K3" s="16"/>
    </row>
    <row r="4" spans="1:15" ht="24.95" customHeight="1">
      <c r="A4" s="4" t="s">
        <v>4</v>
      </c>
      <c r="B4" s="37" t="s">
        <v>67</v>
      </c>
      <c r="C4" s="39"/>
      <c r="D4" s="6"/>
      <c r="E4" s="35" t="s">
        <v>92</v>
      </c>
      <c r="F4" s="35"/>
      <c r="G4" s="35"/>
      <c r="H4" s="36">
        <f>C7-J61</f>
        <v>0</v>
      </c>
    </row>
    <row r="5" spans="1:15" ht="24.95" customHeight="1">
      <c r="B5" s="17" t="s">
        <v>14</v>
      </c>
      <c r="C5" s="18">
        <v>0</v>
      </c>
      <c r="E5" s="35"/>
      <c r="F5" s="35"/>
      <c r="G5" s="35"/>
      <c r="H5" s="36"/>
      <c r="I5" s="7"/>
    </row>
    <row r="6" spans="1:15" ht="24.95" customHeight="1">
      <c r="B6" s="17" t="s">
        <v>69</v>
      </c>
      <c r="C6" s="18">
        <v>0</v>
      </c>
      <c r="E6" s="35" t="s">
        <v>93</v>
      </c>
      <c r="F6" s="35"/>
      <c r="G6" s="35"/>
      <c r="H6" s="36">
        <f>C12-J63</f>
        <v>0</v>
      </c>
      <c r="I6" s="7"/>
    </row>
    <row r="7" spans="1:15" ht="24.95" customHeight="1">
      <c r="A7" s="4" t="s">
        <v>5</v>
      </c>
      <c r="B7" s="17" t="s">
        <v>70</v>
      </c>
      <c r="C7" s="20">
        <f>SUM(C5:C6)</f>
        <v>0</v>
      </c>
      <c r="E7" s="35"/>
      <c r="F7" s="35"/>
      <c r="G7" s="35"/>
      <c r="H7" s="36"/>
      <c r="I7" s="7"/>
    </row>
    <row r="8" spans="1:15" ht="24.95" customHeight="1">
      <c r="B8" s="2"/>
      <c r="C8" s="2"/>
      <c r="D8" s="2"/>
      <c r="E8" s="35" t="s">
        <v>94</v>
      </c>
      <c r="F8" s="35"/>
      <c r="G8" s="35"/>
      <c r="H8" s="36">
        <f>H6-H4</f>
        <v>0</v>
      </c>
      <c r="I8" s="7"/>
    </row>
    <row r="9" spans="1:15" ht="24.95" customHeight="1">
      <c r="A9" s="4" t="s">
        <v>6</v>
      </c>
      <c r="B9" s="37" t="s">
        <v>68</v>
      </c>
      <c r="C9" s="38"/>
      <c r="D9" s="6"/>
      <c r="E9" s="35"/>
      <c r="F9" s="35"/>
      <c r="G9" s="35"/>
      <c r="H9" s="36"/>
      <c r="I9" s="8"/>
    </row>
    <row r="10" spans="1:15" ht="24.95" customHeight="1">
      <c r="B10" s="17" t="s">
        <v>99</v>
      </c>
      <c r="C10" s="18">
        <v>0</v>
      </c>
      <c r="I10" s="7"/>
    </row>
    <row r="11" spans="1:15" ht="24.95" customHeight="1">
      <c r="B11" s="17" t="s">
        <v>69</v>
      </c>
      <c r="C11" s="18">
        <v>0</v>
      </c>
      <c r="E11" s="7"/>
      <c r="H11" s="11"/>
      <c r="I11" s="11"/>
    </row>
    <row r="12" spans="1:15" ht="24.95" customHeight="1">
      <c r="B12" s="19" t="s">
        <v>70</v>
      </c>
      <c r="C12" s="20">
        <f>SUM(C10:C11)</f>
        <v>0</v>
      </c>
    </row>
    <row r="14" spans="1:15" ht="24.95" customHeight="1">
      <c r="A14" s="4" t="s">
        <v>7</v>
      </c>
      <c r="B14" s="21" t="s">
        <v>74</v>
      </c>
      <c r="C14" s="21" t="s">
        <v>76</v>
      </c>
      <c r="D14" s="21" t="s">
        <v>75</v>
      </c>
      <c r="E14" s="21" t="s">
        <v>77</v>
      </c>
      <c r="F14" s="9"/>
      <c r="G14" s="21" t="s">
        <v>44</v>
      </c>
      <c r="H14" s="21" t="s">
        <v>76</v>
      </c>
      <c r="I14" s="21" t="s">
        <v>75</v>
      </c>
      <c r="J14" s="21" t="s">
        <v>77</v>
      </c>
      <c r="O14" s="22"/>
    </row>
    <row r="15" spans="1:15" ht="25.5" customHeight="1">
      <c r="B15" s="23" t="s">
        <v>78</v>
      </c>
      <c r="C15" s="24">
        <v>0</v>
      </c>
      <c r="D15" s="24">
        <v>0</v>
      </c>
      <c r="E15" s="24">
        <f>Alojamiento14385062748698110122134[[#This Row],[COSTO PREVISTO]]-Alojamiento14385062748698110122134[[#This Row],[COSTO REAL]]</f>
        <v>0</v>
      </c>
      <c r="F15" s="9"/>
      <c r="G15" s="23" t="s">
        <v>45</v>
      </c>
      <c r="H15" s="24">
        <v>0</v>
      </c>
      <c r="I15" s="24">
        <v>0</v>
      </c>
      <c r="J15" s="24">
        <f>Entretenimiento15395163758799111123135[[#This Row],[COSTO PREVISTO]]-Entretenimiento15395163758799111123135[[#This Row],[COSTO REAL]]</f>
        <v>0</v>
      </c>
    </row>
    <row r="16" spans="1:15" ht="24.95" customHeight="1">
      <c r="B16" s="23" t="s">
        <v>61</v>
      </c>
      <c r="C16" s="24">
        <v>0</v>
      </c>
      <c r="D16" s="24">
        <v>0</v>
      </c>
      <c r="E16" s="24">
        <f>Alojamiento14385062748698110122134[[#This Row],[COSTO PREVISTO]]-Alojamiento14385062748698110122134[[#This Row],[COSTO REAL]]</f>
        <v>0</v>
      </c>
      <c r="F16" s="9"/>
      <c r="G16" s="23" t="s">
        <v>46</v>
      </c>
      <c r="H16" s="24">
        <v>0</v>
      </c>
      <c r="I16" s="24">
        <v>0</v>
      </c>
      <c r="J16" s="24">
        <f>Entretenimiento15395163758799111123135[[#This Row],[COSTO PREVISTO]]-Entretenimiento15395163758799111123135[[#This Row],[COSTO REAL]]</f>
        <v>0</v>
      </c>
    </row>
    <row r="17" spans="1:10" ht="24.95" customHeight="1">
      <c r="B17" s="23" t="s">
        <v>15</v>
      </c>
      <c r="C17" s="24">
        <v>0</v>
      </c>
      <c r="D17" s="24">
        <v>0</v>
      </c>
      <c r="E17" s="24">
        <f>Alojamiento14385062748698110122134[[#This Row],[COSTO PREVISTO]]-Alojamiento14385062748698110122134[[#This Row],[COSTO REAL]]</f>
        <v>0</v>
      </c>
      <c r="F17" s="9"/>
      <c r="G17" s="23" t="s">
        <v>47</v>
      </c>
      <c r="H17" s="24">
        <v>0</v>
      </c>
      <c r="I17" s="24">
        <v>0</v>
      </c>
      <c r="J17" s="24">
        <f>Entretenimiento15395163758799111123135[[#This Row],[COSTO PREVISTO]]-Entretenimiento15395163758799111123135[[#This Row],[COSTO REAL]]</f>
        <v>0</v>
      </c>
    </row>
    <row r="18" spans="1:10" ht="24.95" customHeight="1">
      <c r="B18" s="23" t="s">
        <v>16</v>
      </c>
      <c r="C18" s="24">
        <v>0</v>
      </c>
      <c r="D18" s="24">
        <v>0</v>
      </c>
      <c r="E18" s="24">
        <f>Alojamiento14385062748698110122134[[#This Row],[COSTO PREVISTO]]-Alojamiento14385062748698110122134[[#This Row],[COSTO REAL]]</f>
        <v>0</v>
      </c>
      <c r="F18" s="9"/>
      <c r="G18" s="23" t="s">
        <v>48</v>
      </c>
      <c r="H18" s="24">
        <v>0</v>
      </c>
      <c r="I18" s="24">
        <v>0</v>
      </c>
      <c r="J18" s="24">
        <f>Entretenimiento15395163758799111123135[[#This Row],[COSTO PREVISTO]]-Entretenimiento15395163758799111123135[[#This Row],[COSTO REAL]]</f>
        <v>0</v>
      </c>
    </row>
    <row r="19" spans="1:10" ht="24.95" customHeight="1">
      <c r="B19" s="23" t="s">
        <v>71</v>
      </c>
      <c r="C19" s="24">
        <v>0</v>
      </c>
      <c r="D19" s="24">
        <v>0</v>
      </c>
      <c r="E19" s="24">
        <f>Alojamiento14385062748698110122134[[#This Row],[COSTO PREVISTO]]-Alojamiento14385062748698110122134[[#This Row],[COSTO REAL]]</f>
        <v>0</v>
      </c>
      <c r="F19" s="9"/>
      <c r="G19" s="23" t="s">
        <v>82</v>
      </c>
      <c r="H19" s="24">
        <v>0</v>
      </c>
      <c r="I19" s="24">
        <v>0</v>
      </c>
      <c r="J19" s="24">
        <f>Entretenimiento15395163758799111123135[[#This Row],[COSTO PREVISTO]]-Entretenimiento15395163758799111123135[[#This Row],[COSTO REAL]]</f>
        <v>0</v>
      </c>
    </row>
    <row r="20" spans="1:10" ht="24.95" customHeight="1">
      <c r="B20" s="23" t="s">
        <v>72</v>
      </c>
      <c r="C20" s="24">
        <v>0</v>
      </c>
      <c r="D20" s="24">
        <v>0</v>
      </c>
      <c r="E20" s="24">
        <f>Alojamiento14385062748698110122134[[#This Row],[COSTO PREVISTO]]-Alojamiento14385062748698110122134[[#This Row],[COSTO REAL]]</f>
        <v>0</v>
      </c>
      <c r="F20" s="9"/>
      <c r="G20" s="23" t="s">
        <v>49</v>
      </c>
      <c r="H20" s="24">
        <v>0</v>
      </c>
      <c r="I20" s="24">
        <v>0</v>
      </c>
      <c r="J20" s="24">
        <f>Entretenimiento15395163758799111123135[[#This Row],[COSTO PREVISTO]]-Entretenimiento15395163758799111123135[[#This Row],[COSTO REAL]]</f>
        <v>0</v>
      </c>
    </row>
    <row r="21" spans="1:10" ht="24.95" customHeight="1">
      <c r="B21" s="23" t="s">
        <v>81</v>
      </c>
      <c r="C21" s="24">
        <v>0</v>
      </c>
      <c r="D21" s="24">
        <v>0</v>
      </c>
      <c r="E21" s="24">
        <f>Alojamiento14385062748698110122134[[#This Row],[COSTO PREVISTO]]-Alojamiento14385062748698110122134[[#This Row],[COSTO REAL]]</f>
        <v>0</v>
      </c>
      <c r="F21" s="9"/>
      <c r="G21" s="23" t="s">
        <v>18</v>
      </c>
      <c r="H21" s="24">
        <v>0</v>
      </c>
      <c r="I21" s="24">
        <v>0</v>
      </c>
      <c r="J21" s="24">
        <f>Entretenimiento15395163758799111123135[[#This Row],[COSTO PREVISTO]]-Entretenimiento15395163758799111123135[[#This Row],[COSTO REAL]]</f>
        <v>0</v>
      </c>
    </row>
    <row r="22" spans="1:10" ht="24.95" customHeight="1">
      <c r="B22" s="23" t="s">
        <v>73</v>
      </c>
      <c r="C22" s="24">
        <v>0</v>
      </c>
      <c r="D22" s="24">
        <v>0</v>
      </c>
      <c r="E22" s="24">
        <f>Alojamiento14385062748698110122134[[#This Row],[COSTO PREVISTO]]-Alojamiento14385062748698110122134[[#This Row],[COSTO REAL]]</f>
        <v>0</v>
      </c>
      <c r="F22" s="9"/>
      <c r="G22" s="23" t="s">
        <v>18</v>
      </c>
      <c r="H22" s="24">
        <v>0</v>
      </c>
      <c r="I22" s="24">
        <v>0</v>
      </c>
      <c r="J22" s="24">
        <f>Entretenimiento15395163758799111123135[[#This Row],[COSTO PREVISTO]]-Entretenimiento15395163758799111123135[[#This Row],[COSTO REAL]]</f>
        <v>0</v>
      </c>
    </row>
    <row r="23" spans="1:10" ht="24.95" customHeight="1">
      <c r="B23" s="23" t="s">
        <v>17</v>
      </c>
      <c r="C23" s="24">
        <v>0</v>
      </c>
      <c r="D23" s="24">
        <v>0</v>
      </c>
      <c r="E23" s="24">
        <f>Alojamiento14385062748698110122134[[#This Row],[COSTO PREVISTO]]-Alojamiento14385062748698110122134[[#This Row],[COSTO REAL]]</f>
        <v>0</v>
      </c>
      <c r="F23" s="9"/>
      <c r="G23" s="23" t="s">
        <v>18</v>
      </c>
      <c r="H23" s="24">
        <v>0</v>
      </c>
      <c r="I23" s="24">
        <v>0</v>
      </c>
      <c r="J23" s="24">
        <f>Entretenimiento15395163758799111123135[[#This Row],[COSTO PREVISTO]]-Entretenimiento15395163758799111123135[[#This Row],[COSTO REAL]]</f>
        <v>0</v>
      </c>
    </row>
    <row r="24" spans="1:10" ht="24.95" customHeight="1">
      <c r="B24" s="23" t="s">
        <v>18</v>
      </c>
      <c r="C24" s="24">
        <v>0</v>
      </c>
      <c r="D24" s="24">
        <v>0</v>
      </c>
      <c r="E24" s="24">
        <f>Alojamiento14385062748698110122134[[#This Row],[COSTO PREVISTO]]-Alojamiento14385062748698110122134[[#This Row],[COSTO REAL]]</f>
        <v>0</v>
      </c>
      <c r="F24" s="9"/>
      <c r="G24" s="25" t="s">
        <v>19</v>
      </c>
      <c r="H24" s="27" t="s">
        <v>66</v>
      </c>
      <c r="I24" s="27" t="s">
        <v>66</v>
      </c>
      <c r="J24" s="26">
        <f>SUBTOTAL(109,Entretenimiento15395163758799111123135[DIFERENCIA])</f>
        <v>0</v>
      </c>
    </row>
    <row r="25" spans="1:10" ht="24.95" customHeight="1">
      <c r="B25" s="25" t="s">
        <v>19</v>
      </c>
      <c r="C25" s="26">
        <f>SUBTOTAL(109,Alojamiento14385062748698110122134[COSTO PREVISTO])</f>
        <v>0</v>
      </c>
      <c r="D25" s="26">
        <f>SUBTOTAL(109,Alojamiento14385062748698110122134[COSTO REAL])</f>
        <v>0</v>
      </c>
      <c r="E25" s="26">
        <f>SUBTOTAL(109,Alojamiento14385062748698110122134[DIFERENCIA])</f>
        <v>0</v>
      </c>
      <c r="F25" s="9"/>
      <c r="G25" s="41"/>
      <c r="H25" s="41"/>
      <c r="I25" s="41"/>
      <c r="J25" s="41"/>
    </row>
    <row r="26" spans="1:10" ht="24.95" customHeight="1">
      <c r="B26" s="41"/>
      <c r="C26" s="41"/>
      <c r="D26" s="41"/>
      <c r="E26" s="41"/>
      <c r="F26" s="9"/>
      <c r="G26" s="21" t="s">
        <v>50</v>
      </c>
      <c r="H26" s="21" t="s">
        <v>76</v>
      </c>
      <c r="I26" s="21" t="s">
        <v>75</v>
      </c>
      <c r="J26" s="21" t="s">
        <v>77</v>
      </c>
    </row>
    <row r="27" spans="1:10" ht="24.95" customHeight="1">
      <c r="A27" s="4" t="s">
        <v>8</v>
      </c>
      <c r="B27" s="21" t="s">
        <v>20</v>
      </c>
      <c r="C27" s="21" t="s">
        <v>40</v>
      </c>
      <c r="D27" s="21" t="s">
        <v>41</v>
      </c>
      <c r="E27" s="21" t="s">
        <v>43</v>
      </c>
      <c r="F27" s="9"/>
      <c r="G27" s="23" t="s">
        <v>51</v>
      </c>
      <c r="H27" s="24">
        <v>0</v>
      </c>
      <c r="I27" s="24">
        <v>0</v>
      </c>
      <c r="J27" s="24">
        <f>Prestamos164052647688100112124136[[#This Row],[COSTO PREVISTO]]-Prestamos164052647688100112124136[[#This Row],[COSTO REAL]]</f>
        <v>0</v>
      </c>
    </row>
    <row r="28" spans="1:10" ht="24.95" customHeight="1">
      <c r="B28" s="23" t="s">
        <v>62</v>
      </c>
      <c r="C28" s="24">
        <v>0</v>
      </c>
      <c r="D28" s="24">
        <v>0</v>
      </c>
      <c r="E28" s="24">
        <f>Transporte174153657789101113125137[[#This Row],[Costo previsto]]-Transporte174153657789101113125137[[#This Row],[Costo real]]</f>
        <v>0</v>
      </c>
      <c r="F28" s="9"/>
      <c r="G28" s="23" t="s">
        <v>52</v>
      </c>
      <c r="H28" s="24">
        <v>0</v>
      </c>
      <c r="I28" s="24">
        <v>0</v>
      </c>
      <c r="J28" s="24">
        <f>Prestamos164052647688100112124136[[#This Row],[COSTO PREVISTO]]-Prestamos164052647688100112124136[[#This Row],[COSTO REAL]]</f>
        <v>0</v>
      </c>
    </row>
    <row r="29" spans="1:10" ht="24.95" customHeight="1">
      <c r="B29" s="23" t="s">
        <v>83</v>
      </c>
      <c r="C29" s="24">
        <v>0</v>
      </c>
      <c r="D29" s="24">
        <v>0</v>
      </c>
      <c r="E29" s="24">
        <f>Transporte174153657789101113125137[[#This Row],[Costo previsto]]-Transporte174153657789101113125137[[#This Row],[Costo real]]</f>
        <v>0</v>
      </c>
      <c r="F29" s="9"/>
      <c r="G29" s="23" t="s">
        <v>53</v>
      </c>
      <c r="H29" s="24">
        <v>0</v>
      </c>
      <c r="I29" s="24">
        <v>0</v>
      </c>
      <c r="J29" s="24">
        <f>Prestamos164052647688100112124136[[#This Row],[COSTO PREVISTO]]-Prestamos164052647688100112124136[[#This Row],[COSTO REAL]]</f>
        <v>0</v>
      </c>
    </row>
    <row r="30" spans="1:10" ht="24.95" customHeight="1">
      <c r="B30" s="23" t="s">
        <v>21</v>
      </c>
      <c r="C30" s="24">
        <v>0</v>
      </c>
      <c r="D30" s="24">
        <v>0</v>
      </c>
      <c r="E30" s="24">
        <f>Transporte174153657789101113125137[[#This Row],[Costo previsto]]-Transporte174153657789101113125137[[#This Row],[Costo real]]</f>
        <v>0</v>
      </c>
      <c r="F30" s="9"/>
      <c r="G30" s="23" t="s">
        <v>53</v>
      </c>
      <c r="H30" s="24">
        <v>0</v>
      </c>
      <c r="I30" s="24">
        <v>0</v>
      </c>
      <c r="J30" s="24">
        <f>Prestamos164052647688100112124136[[#This Row],[COSTO PREVISTO]]-Prestamos164052647688100112124136[[#This Row],[COSTO REAL]]</f>
        <v>0</v>
      </c>
    </row>
    <row r="31" spans="1:10" ht="24.95" customHeight="1">
      <c r="B31" s="23" t="s">
        <v>22</v>
      </c>
      <c r="C31" s="24">
        <v>0</v>
      </c>
      <c r="D31" s="24">
        <v>0</v>
      </c>
      <c r="E31" s="24">
        <f>Transporte174153657789101113125137[[#This Row],[Costo previsto]]-Transporte174153657789101113125137[[#This Row],[Costo real]]</f>
        <v>0</v>
      </c>
      <c r="F31" s="9"/>
      <c r="G31" s="23" t="s">
        <v>53</v>
      </c>
      <c r="H31" s="24">
        <v>0</v>
      </c>
      <c r="I31" s="24">
        <v>0</v>
      </c>
      <c r="J31" s="24">
        <f>Prestamos164052647688100112124136[[#This Row],[COSTO PREVISTO]]-Prestamos164052647688100112124136[[#This Row],[COSTO REAL]]</f>
        <v>0</v>
      </c>
    </row>
    <row r="32" spans="1:10" ht="24.95" customHeight="1">
      <c r="B32" s="23" t="s">
        <v>23</v>
      </c>
      <c r="C32" s="24">
        <v>0</v>
      </c>
      <c r="D32" s="24">
        <v>0</v>
      </c>
      <c r="E32" s="24">
        <f>Transporte174153657789101113125137[[#This Row],[Costo previsto]]-Transporte174153657789101113125137[[#This Row],[Costo real]]</f>
        <v>0</v>
      </c>
      <c r="F32" s="9"/>
      <c r="G32" s="23" t="s">
        <v>18</v>
      </c>
      <c r="H32" s="24">
        <v>0</v>
      </c>
      <c r="I32" s="24">
        <v>0</v>
      </c>
      <c r="J32" s="24">
        <f>Prestamos164052647688100112124136[[#This Row],[COSTO PREVISTO]]-Prestamos164052647688100112124136[[#This Row],[COSTO REAL]]</f>
        <v>0</v>
      </c>
    </row>
    <row r="33" spans="1:10" ht="24.95" customHeight="1">
      <c r="B33" s="23" t="s">
        <v>24</v>
      </c>
      <c r="C33" s="24">
        <v>0</v>
      </c>
      <c r="D33" s="24">
        <v>0</v>
      </c>
      <c r="E33" s="24">
        <f>Transporte174153657789101113125137[[#This Row],[Costo previsto]]-Transporte174153657789101113125137[[#This Row],[Costo real]]</f>
        <v>0</v>
      </c>
      <c r="F33" s="9"/>
      <c r="G33" s="25" t="s">
        <v>19</v>
      </c>
      <c r="H33" s="27" t="s">
        <v>66</v>
      </c>
      <c r="I33" s="27" t="s">
        <v>66</v>
      </c>
      <c r="J33" s="26">
        <f>SUBTOTAL(109,Prestamos164052647688100112124136[DIFERENCIA])</f>
        <v>0</v>
      </c>
    </row>
    <row r="34" spans="1:10" ht="24.95" customHeight="1">
      <c r="B34" s="23" t="s">
        <v>64</v>
      </c>
      <c r="C34" s="24">
        <v>0</v>
      </c>
      <c r="D34" s="24">
        <v>0</v>
      </c>
      <c r="E34" s="24">
        <f>Transporte174153657789101113125137[[#This Row],[Costo previsto]]-Transporte174153657789101113125137[[#This Row],[Costo real]]</f>
        <v>0</v>
      </c>
      <c r="F34" s="9"/>
      <c r="G34" s="41"/>
      <c r="H34" s="41"/>
      <c r="I34" s="41"/>
      <c r="J34" s="41"/>
    </row>
    <row r="35" spans="1:10" ht="24.95" customHeight="1">
      <c r="B35" s="25" t="s">
        <v>19</v>
      </c>
      <c r="C35" s="26">
        <f>SUBTOTAL(109,Transporte174153657789101113125137[Costo previsto])</f>
        <v>0</v>
      </c>
      <c r="D35" s="26">
        <f>SUBTOTAL(109,Transporte174153657789101113125137[Costo real])</f>
        <v>0</v>
      </c>
      <c r="E35" s="26">
        <f>SUBTOTAL(109,Transporte174153657789101113125137[Diferencia])</f>
        <v>0</v>
      </c>
      <c r="F35" s="9"/>
      <c r="G35" s="21" t="s">
        <v>54</v>
      </c>
      <c r="H35" s="21" t="s">
        <v>76</v>
      </c>
      <c r="I35" s="21" t="s">
        <v>75</v>
      </c>
      <c r="J35" s="21" t="s">
        <v>77</v>
      </c>
    </row>
    <row r="36" spans="1:10" ht="24.95" customHeight="1">
      <c r="B36" s="41"/>
      <c r="C36" s="41"/>
      <c r="D36" s="41"/>
      <c r="E36" s="41"/>
      <c r="F36" s="9"/>
      <c r="G36" s="23" t="s">
        <v>55</v>
      </c>
      <c r="H36" s="24">
        <v>0</v>
      </c>
      <c r="I36" s="24">
        <v>0</v>
      </c>
      <c r="J36" s="24">
        <f>Impuestos194355677991103115127139[[#This Row],[COSTO PREVISTO]]-Impuestos194355677991103115127139[[#This Row],[COSTO REAL]]</f>
        <v>0</v>
      </c>
    </row>
    <row r="37" spans="1:10" ht="24.95" customHeight="1">
      <c r="A37" s="4" t="s">
        <v>9</v>
      </c>
      <c r="B37" s="21" t="s">
        <v>25</v>
      </c>
      <c r="C37" s="21" t="s">
        <v>76</v>
      </c>
      <c r="D37" s="21" t="s">
        <v>75</v>
      </c>
      <c r="E37" s="21" t="s">
        <v>77</v>
      </c>
      <c r="F37" s="9"/>
      <c r="G37" s="23" t="s">
        <v>56</v>
      </c>
      <c r="H37" s="24">
        <v>0</v>
      </c>
      <c r="I37" s="24">
        <v>0</v>
      </c>
      <c r="J37" s="24">
        <f>Impuestos194355677991103115127139[[#This Row],[COSTO PREVISTO]]-Impuestos194355677991103115127139[[#This Row],[COSTO REAL]]</f>
        <v>0</v>
      </c>
    </row>
    <row r="38" spans="1:10" ht="24.95" customHeight="1">
      <c r="B38" s="23" t="s">
        <v>26</v>
      </c>
      <c r="C38" s="24">
        <v>0</v>
      </c>
      <c r="D38" s="24">
        <v>0</v>
      </c>
      <c r="E38" s="24">
        <f>Seguro184254667890102114126138[[#This Row],[COSTO PREVISTO]]-Seguro184254667890102114126138[[#This Row],[COSTO REAL]]</f>
        <v>0</v>
      </c>
      <c r="F38" s="9"/>
      <c r="G38" s="23" t="s">
        <v>57</v>
      </c>
      <c r="H38" s="24">
        <v>0</v>
      </c>
      <c r="I38" s="24">
        <v>0</v>
      </c>
      <c r="J38" s="24">
        <f>Impuestos194355677991103115127139[[#This Row],[COSTO PREVISTO]]-Impuestos194355677991103115127139[[#This Row],[COSTO REAL]]</f>
        <v>0</v>
      </c>
    </row>
    <row r="39" spans="1:10" ht="24.95" customHeight="1">
      <c r="B39" s="23" t="s">
        <v>98</v>
      </c>
      <c r="C39" s="24">
        <v>0</v>
      </c>
      <c r="D39" s="24">
        <v>0</v>
      </c>
      <c r="E39" s="24">
        <f>Seguro184254667890102114126138[[#This Row],[COSTO PREVISTO]]-Seguro184254667890102114126138[[#This Row],[COSTO REAL]]</f>
        <v>0</v>
      </c>
      <c r="F39" s="9"/>
      <c r="G39" s="23" t="s">
        <v>18</v>
      </c>
      <c r="H39" s="24">
        <v>0</v>
      </c>
      <c r="I39" s="24">
        <v>0</v>
      </c>
      <c r="J39" s="24">
        <f>Impuestos194355677991103115127139[[#This Row],[COSTO PREVISTO]]-Impuestos194355677991103115127139[[#This Row],[COSTO REAL]]</f>
        <v>0</v>
      </c>
    </row>
    <row r="40" spans="1:10" ht="24.95" customHeight="1">
      <c r="B40" s="23" t="s">
        <v>27</v>
      </c>
      <c r="C40" s="24">
        <v>0</v>
      </c>
      <c r="D40" s="24">
        <v>0</v>
      </c>
      <c r="E40" s="24">
        <f>Seguro184254667890102114126138[[#This Row],[COSTO PREVISTO]]-Seguro184254667890102114126138[[#This Row],[COSTO REAL]]</f>
        <v>0</v>
      </c>
      <c r="F40" s="9"/>
      <c r="G40" s="25" t="s">
        <v>19</v>
      </c>
      <c r="H40" s="27" t="s">
        <v>66</v>
      </c>
      <c r="I40" s="27" t="s">
        <v>66</v>
      </c>
      <c r="J40" s="26">
        <f>SUBTOTAL(109,Impuestos194355677991103115127139[DIFERENCIA])</f>
        <v>0</v>
      </c>
    </row>
    <row r="41" spans="1:10" ht="24.95" customHeight="1">
      <c r="B41" s="23" t="s">
        <v>18</v>
      </c>
      <c r="C41" s="24">
        <v>0</v>
      </c>
      <c r="D41" s="24">
        <v>0</v>
      </c>
      <c r="E41" s="24">
        <f>Seguro184254667890102114126138[[#This Row],[COSTO PREVISTO]]-Seguro184254667890102114126138[[#This Row],[COSTO REAL]]</f>
        <v>0</v>
      </c>
      <c r="F41" s="9"/>
      <c r="G41" s="41"/>
      <c r="H41" s="41"/>
      <c r="I41" s="41"/>
      <c r="J41" s="41"/>
    </row>
    <row r="42" spans="1:10" ht="24.95" customHeight="1">
      <c r="B42" s="25" t="s">
        <v>19</v>
      </c>
      <c r="C42" s="26">
        <f>SUBTOTAL(109,Seguro184254667890102114126138[COSTO PREVISTO])</f>
        <v>0</v>
      </c>
      <c r="D42" s="26">
        <f>SUBTOTAL(109,Seguro184254667890102114126138[COSTO REAL])</f>
        <v>0</v>
      </c>
      <c r="E42" s="26">
        <f>SUBTOTAL(109,Seguro184254667890102114126138[DIFERENCIA])</f>
        <v>0</v>
      </c>
      <c r="F42" s="9"/>
      <c r="G42" s="21" t="s">
        <v>58</v>
      </c>
      <c r="H42" s="21" t="s">
        <v>76</v>
      </c>
      <c r="I42" s="21" t="s">
        <v>75</v>
      </c>
      <c r="J42" s="21" t="s">
        <v>77</v>
      </c>
    </row>
    <row r="43" spans="1:10" ht="24.95" customHeight="1">
      <c r="B43" s="41"/>
      <c r="C43" s="41"/>
      <c r="D43" s="41"/>
      <c r="E43" s="41"/>
      <c r="F43" s="9"/>
      <c r="G43" s="23" t="s">
        <v>96</v>
      </c>
      <c r="H43" s="24">
        <v>0</v>
      </c>
      <c r="I43" s="24">
        <v>0</v>
      </c>
      <c r="J43" s="24">
        <f>Ahorros204456688092104116128140[[#This Row],[COSTO PREVISTO]]-Ahorros204456688092104116128140[[#This Row],[COSTO REAL]]</f>
        <v>0</v>
      </c>
    </row>
    <row r="44" spans="1:10" ht="24.95" customHeight="1">
      <c r="A44" s="4" t="s">
        <v>10</v>
      </c>
      <c r="B44" s="21" t="s">
        <v>28</v>
      </c>
      <c r="C44" s="21" t="s">
        <v>76</v>
      </c>
      <c r="D44" s="21" t="s">
        <v>75</v>
      </c>
      <c r="E44" s="21" t="s">
        <v>77</v>
      </c>
      <c r="F44" s="9"/>
      <c r="G44" s="23" t="s">
        <v>97</v>
      </c>
      <c r="H44" s="24">
        <v>0</v>
      </c>
      <c r="I44" s="24">
        <v>0</v>
      </c>
      <c r="J44" s="24">
        <f>Ahorros204456688092104116128140[[#This Row],[COSTO PREVISTO]]-Ahorros204456688092104116128140[[#This Row],[COSTO REAL]]</f>
        <v>0</v>
      </c>
    </row>
    <row r="45" spans="1:10" ht="24.95" customHeight="1">
      <c r="B45" s="23" t="s">
        <v>29</v>
      </c>
      <c r="C45" s="24">
        <v>0</v>
      </c>
      <c r="D45" s="24">
        <v>0</v>
      </c>
      <c r="E45" s="24">
        <f>Comida214557698193105117129141[[#This Row],[COSTO PREVISTO]]-Comida214557698193105117129141[[#This Row],[COSTO REAL]]</f>
        <v>0</v>
      </c>
      <c r="F45" s="9"/>
      <c r="G45" s="23" t="s">
        <v>18</v>
      </c>
      <c r="H45" s="24">
        <v>0</v>
      </c>
      <c r="I45" s="24">
        <v>0</v>
      </c>
      <c r="J45" s="24">
        <f>Ahorros204456688092104116128140[[#This Row],[COSTO PREVISTO]]-Ahorros204456688092104116128140[[#This Row],[COSTO REAL]]</f>
        <v>0</v>
      </c>
    </row>
    <row r="46" spans="1:10" ht="24.95" customHeight="1">
      <c r="B46" s="23" t="s">
        <v>30</v>
      </c>
      <c r="C46" s="24">
        <v>0</v>
      </c>
      <c r="D46" s="24">
        <v>0</v>
      </c>
      <c r="E46" s="24">
        <f>Comida214557698193105117129141[[#This Row],[COSTO PREVISTO]]-Comida214557698193105117129141[[#This Row],[COSTO REAL]]</f>
        <v>0</v>
      </c>
      <c r="F46" s="9"/>
      <c r="G46" s="25" t="s">
        <v>19</v>
      </c>
      <c r="H46" s="27" t="s">
        <v>66</v>
      </c>
      <c r="I46" s="27" t="s">
        <v>66</v>
      </c>
      <c r="J46" s="26">
        <f>SUBTOTAL(109,Ahorros204456688092104116128140[DIFERENCIA])</f>
        <v>0</v>
      </c>
    </row>
    <row r="47" spans="1:10" ht="24.95" customHeight="1">
      <c r="B47" s="23" t="s">
        <v>65</v>
      </c>
      <c r="C47" s="24">
        <v>0</v>
      </c>
      <c r="D47" s="24">
        <v>0</v>
      </c>
      <c r="E47" s="24">
        <f>Comida214557698193105117129141[[#This Row],[COSTO PREVISTO]]-Comida214557698193105117129141[[#This Row],[COSTO REAL]]</f>
        <v>0</v>
      </c>
      <c r="F47" s="9"/>
      <c r="G47" s="41"/>
      <c r="H47" s="41"/>
      <c r="I47" s="41"/>
      <c r="J47" s="41"/>
    </row>
    <row r="48" spans="1:10" ht="24.95" customHeight="1">
      <c r="B48" s="25" t="s">
        <v>19</v>
      </c>
      <c r="C48" s="26">
        <f>SUBTOTAL(109,Comida214557698193105117129141[COSTO PREVISTO])</f>
        <v>0</v>
      </c>
      <c r="D48" s="26">
        <f>SUBTOTAL(109,Comida214557698193105117129141[COSTO REAL])</f>
        <v>0</v>
      </c>
      <c r="E48" s="26">
        <f>SUBTOTAL(109,Comida214557698193105117129141[DIFERENCIA])</f>
        <v>0</v>
      </c>
      <c r="F48" s="9"/>
      <c r="G48" s="21" t="s">
        <v>79</v>
      </c>
      <c r="H48" s="21" t="s">
        <v>76</v>
      </c>
      <c r="I48" s="21" t="s">
        <v>80</v>
      </c>
      <c r="J48" s="21" t="s">
        <v>77</v>
      </c>
    </row>
    <row r="49" spans="1:10" ht="24.95" customHeight="1">
      <c r="B49" s="41"/>
      <c r="C49" s="41"/>
      <c r="D49" s="41"/>
      <c r="E49" s="41"/>
      <c r="F49" s="9"/>
      <c r="G49" s="23" t="s">
        <v>85</v>
      </c>
      <c r="H49" s="24">
        <v>0</v>
      </c>
      <c r="I49" s="24">
        <v>0</v>
      </c>
      <c r="J49" s="24">
        <f>Regalos224658708294106118130142[[#This Row],[COSTO PREVISTO]]-Regalos224658708294106118130142[[#This Row],[COSTO REAL ]]</f>
        <v>0</v>
      </c>
    </row>
    <row r="50" spans="1:10" ht="24.95" customHeight="1">
      <c r="A50" s="4" t="s">
        <v>11</v>
      </c>
      <c r="B50" s="21" t="s">
        <v>31</v>
      </c>
      <c r="C50" s="21" t="s">
        <v>76</v>
      </c>
      <c r="D50" s="21" t="s">
        <v>75</v>
      </c>
      <c r="E50" s="21" t="s">
        <v>77</v>
      </c>
      <c r="F50" s="9"/>
      <c r="G50" s="23" t="s">
        <v>84</v>
      </c>
      <c r="H50" s="24">
        <v>0</v>
      </c>
      <c r="I50" s="24">
        <v>0</v>
      </c>
      <c r="J50" s="24">
        <f>Regalos224658708294106118130142[[#This Row],[COSTO PREVISTO]]-Regalos224658708294106118130142[[#This Row],[COSTO REAL ]]</f>
        <v>0</v>
      </c>
    </row>
    <row r="51" spans="1:10" ht="24.95" customHeight="1">
      <c r="B51" s="23" t="s">
        <v>32</v>
      </c>
      <c r="C51" s="24">
        <v>0</v>
      </c>
      <c r="D51" s="24">
        <v>0</v>
      </c>
      <c r="E51" s="24">
        <f>Mascotas234759718395107119131143[[#This Row],[COSTO PREVISTO]]-Mascotas234759718395107119131143[[#This Row],[COSTO REAL]]</f>
        <v>0</v>
      </c>
      <c r="F51" s="9"/>
      <c r="G51" s="23" t="s">
        <v>63</v>
      </c>
      <c r="H51" s="24">
        <v>0</v>
      </c>
      <c r="I51" s="24">
        <v>0</v>
      </c>
      <c r="J51" s="24">
        <f>Regalos224658708294106118130142[[#This Row],[COSTO PREVISTO]]-Regalos224658708294106118130142[[#This Row],[COSTO REAL ]]</f>
        <v>0</v>
      </c>
    </row>
    <row r="52" spans="1:10" ht="24.95" customHeight="1">
      <c r="B52" s="23" t="s">
        <v>33</v>
      </c>
      <c r="C52" s="24">
        <v>0</v>
      </c>
      <c r="D52" s="24">
        <v>0</v>
      </c>
      <c r="E52" s="24">
        <f>Mascotas234759718395107119131143[[#This Row],[COSTO PREVISTO]]-Mascotas234759718395107119131143[[#This Row],[COSTO REAL]]</f>
        <v>0</v>
      </c>
      <c r="F52" s="9"/>
      <c r="G52" s="25" t="s">
        <v>19</v>
      </c>
      <c r="H52" s="27">
        <f>SUBTOTAL(109,Regalos224658708294106118130142[COSTO PREVISTO])</f>
        <v>0</v>
      </c>
      <c r="I52" s="27" t="s">
        <v>66</v>
      </c>
      <c r="J52" s="26">
        <f>SUBTOTAL(109,Regalos224658708294106118130142[DIFERENCIA])</f>
        <v>0</v>
      </c>
    </row>
    <row r="53" spans="1:10" ht="24.95" customHeight="1">
      <c r="B53" s="23" t="s">
        <v>34</v>
      </c>
      <c r="C53" s="24">
        <v>0</v>
      </c>
      <c r="D53" s="24">
        <v>0</v>
      </c>
      <c r="E53" s="24">
        <f>Mascotas234759718395107119131143[[#This Row],[COSTO PREVISTO]]-Mascotas234759718395107119131143[[#This Row],[COSTO REAL]]</f>
        <v>0</v>
      </c>
      <c r="F53" s="9"/>
      <c r="G53" s="41"/>
      <c r="H53" s="41"/>
      <c r="I53" s="41"/>
      <c r="J53" s="41"/>
    </row>
    <row r="54" spans="1:10" ht="24.95" customHeight="1">
      <c r="B54" s="23" t="s">
        <v>35</v>
      </c>
      <c r="C54" s="24">
        <v>0</v>
      </c>
      <c r="D54" s="24">
        <v>0</v>
      </c>
      <c r="E54" s="24">
        <f>Mascotas234759718395107119131143[[#This Row],[COSTO PREVISTO]]-Mascotas234759718395107119131143[[#This Row],[COSTO REAL]]</f>
        <v>0</v>
      </c>
      <c r="F54" s="9"/>
      <c r="G54" s="21" t="s">
        <v>59</v>
      </c>
      <c r="H54" s="21" t="s">
        <v>76</v>
      </c>
      <c r="I54" s="21" t="s">
        <v>75</v>
      </c>
      <c r="J54" s="21" t="s">
        <v>77</v>
      </c>
    </row>
    <row r="55" spans="1:10" ht="24.95" customHeight="1">
      <c r="B55" s="23" t="s">
        <v>18</v>
      </c>
      <c r="C55" s="24">
        <v>0</v>
      </c>
      <c r="D55" s="24">
        <v>0</v>
      </c>
      <c r="E55" s="24">
        <f>Mascotas234759718395107119131143[[#This Row],[COSTO PREVISTO]]-Mascotas234759718395107119131143[[#This Row],[COSTO REAL]]</f>
        <v>0</v>
      </c>
      <c r="F55" s="9"/>
      <c r="G55" s="23" t="s">
        <v>60</v>
      </c>
      <c r="H55" s="24">
        <v>0</v>
      </c>
      <c r="I55" s="24">
        <v>0</v>
      </c>
      <c r="J55" s="24">
        <f>Legal244860728496108120132144[[#This Row],[COSTO PREVISTO]]-Legal244860728496108120132144[[#This Row],[COSTO REAL]]</f>
        <v>0</v>
      </c>
    </row>
    <row r="56" spans="1:10" ht="24.95" customHeight="1">
      <c r="B56" s="25" t="s">
        <v>19</v>
      </c>
      <c r="C56" s="26">
        <f>SUBTOTAL(109,Mascotas234759718395107119131143[COSTO PREVISTO])</f>
        <v>0</v>
      </c>
      <c r="D56" s="26">
        <f>SUBTOTAL(109,Mascotas234759718395107119131143[COSTO REAL])</f>
        <v>0</v>
      </c>
      <c r="E56" s="26">
        <f>SUBTOTAL(109,Mascotas234759718395107119131143[DIFERENCIA])</f>
        <v>0</v>
      </c>
      <c r="F56" s="9"/>
      <c r="G56" s="23" t="s">
        <v>86</v>
      </c>
      <c r="H56" s="24">
        <v>0</v>
      </c>
      <c r="I56" s="24">
        <v>0</v>
      </c>
      <c r="J56" s="24">
        <f>Legal244860728496108120132144[[#This Row],[COSTO PREVISTO]]-Legal244860728496108120132144[[#This Row],[COSTO REAL]]</f>
        <v>0</v>
      </c>
    </row>
    <row r="57" spans="1:10" ht="24.95" customHeight="1">
      <c r="B57" s="41"/>
      <c r="C57" s="41"/>
      <c r="D57" s="41"/>
      <c r="E57" s="41"/>
      <c r="F57" s="9"/>
      <c r="G57" s="23" t="s">
        <v>87</v>
      </c>
      <c r="H57" s="24">
        <v>0</v>
      </c>
      <c r="I57" s="24">
        <v>0</v>
      </c>
      <c r="J57" s="24">
        <f>Legal244860728496108120132144[[#This Row],[COSTO PREVISTO]]-Legal244860728496108120132144[[#This Row],[COSTO REAL]]</f>
        <v>0</v>
      </c>
    </row>
    <row r="58" spans="1:10" ht="24.95" customHeight="1">
      <c r="A58" s="4" t="s">
        <v>12</v>
      </c>
      <c r="B58" s="21" t="s">
        <v>36</v>
      </c>
      <c r="C58" s="21" t="s">
        <v>40</v>
      </c>
      <c r="D58" s="21" t="s">
        <v>42</v>
      </c>
      <c r="E58" s="21" t="s">
        <v>43</v>
      </c>
      <c r="F58" s="9"/>
      <c r="G58" s="23" t="s">
        <v>18</v>
      </c>
      <c r="H58" s="24">
        <v>0</v>
      </c>
      <c r="I58" s="24">
        <v>0</v>
      </c>
      <c r="J58" s="24">
        <f>Legal244860728496108120132144[[#This Row],[COSTO PREVISTO]]-Legal244860728496108120132144[[#This Row],[COSTO REAL]]</f>
        <v>0</v>
      </c>
    </row>
    <row r="59" spans="1:10" ht="24.95" customHeight="1">
      <c r="B59" s="23" t="s">
        <v>33</v>
      </c>
      <c r="C59" s="24">
        <v>0</v>
      </c>
      <c r="D59" s="24">
        <v>0</v>
      </c>
      <c r="E59" s="24">
        <f>CuidadoPersonal254961738597109121133145[[#This Row],[Costo previsto]]-CuidadoPersonal254961738597109121133145[[#This Row],[Coste real]]</f>
        <v>0</v>
      </c>
      <c r="F59" s="9"/>
      <c r="G59" s="25" t="s">
        <v>19</v>
      </c>
      <c r="H59" s="27" t="s">
        <v>66</v>
      </c>
      <c r="I59" s="27" t="s">
        <v>66</v>
      </c>
      <c r="J59" s="26">
        <f>SUBTOTAL(109,Legal244860728496108120132144[DIFERENCIA])</f>
        <v>0</v>
      </c>
    </row>
    <row r="60" spans="1:10" ht="24.95" customHeight="1">
      <c r="B60" s="23" t="s">
        <v>95</v>
      </c>
      <c r="C60" s="24">
        <v>0</v>
      </c>
      <c r="D60" s="24">
        <v>0</v>
      </c>
      <c r="E60" s="24">
        <f>CuidadoPersonal254961738597109121133145[[#This Row],[Costo previsto]]-CuidadoPersonal254961738597109121133145[[#This Row],[Coste real]]</f>
        <v>0</v>
      </c>
      <c r="F60" s="9"/>
      <c r="G60" s="41"/>
      <c r="H60" s="41"/>
      <c r="I60" s="41"/>
      <c r="J60" s="41"/>
    </row>
    <row r="61" spans="1:10" ht="24.95" customHeight="1">
      <c r="A61" s="4" t="s">
        <v>13</v>
      </c>
      <c r="B61" s="23" t="s">
        <v>37</v>
      </c>
      <c r="C61" s="24">
        <v>0</v>
      </c>
      <c r="D61" s="24">
        <v>0</v>
      </c>
      <c r="E61" s="24">
        <f>CuidadoPersonal254961738597109121133145[[#This Row],[Costo previsto]]-CuidadoPersonal254961738597109121133145[[#This Row],[Coste real]]</f>
        <v>0</v>
      </c>
      <c r="F61" s="9"/>
      <c r="G61" s="35" t="s">
        <v>89</v>
      </c>
      <c r="H61" s="35"/>
      <c r="I61" s="35"/>
      <c r="J61" s="40">
        <f>SUBTOTAL(109,Alojamiento14385062748698110122134[COSTO PREVISTO],Transporte174153657789101113125137[Costo previsto],Seguro184254667890102114126138[COSTO PREVISTO],Comida214557698193105117129141[COSTO PREVISTO],Mascotas234759718395107119131143[COSTO PREVISTO],CuidadoPersonal254961738597109121133145[Costo previsto],Entretenimiento15395163758799111123135[COSTO PREVISTO],Prestamos164052647688100112124136[COSTO PREVISTO],Impuestos194355677991103115127139[COSTO PREVISTO],Ahorros204456688092104116128140[COSTO PREVISTO],Regalos224658708294106118130142[COSTO PREVISTO],Legal244860728496108120132144[COSTO PREVISTO])</f>
        <v>0</v>
      </c>
    </row>
    <row r="62" spans="1:10" ht="24.95" customHeight="1">
      <c r="B62" s="23" t="s">
        <v>38</v>
      </c>
      <c r="C62" s="24">
        <v>0</v>
      </c>
      <c r="D62" s="24">
        <v>0</v>
      </c>
      <c r="E62" s="24">
        <f>CuidadoPersonal254961738597109121133145[[#This Row],[Costo previsto]]-CuidadoPersonal254961738597109121133145[[#This Row],[Coste real]]</f>
        <v>0</v>
      </c>
      <c r="F62" s="9"/>
      <c r="G62" s="35"/>
      <c r="H62" s="35"/>
      <c r="I62" s="35"/>
      <c r="J62" s="40"/>
    </row>
    <row r="63" spans="1:10" ht="24.95" customHeight="1">
      <c r="B63" s="23" t="s">
        <v>39</v>
      </c>
      <c r="C63" s="24">
        <v>0</v>
      </c>
      <c r="D63" s="24">
        <v>0</v>
      </c>
      <c r="E63" s="24">
        <f>CuidadoPersonal254961738597109121133145[[#This Row],[Costo previsto]]-CuidadoPersonal254961738597109121133145[[#This Row],[Coste real]]</f>
        <v>0</v>
      </c>
      <c r="F63" s="9"/>
      <c r="G63" s="35" t="s">
        <v>90</v>
      </c>
      <c r="H63" s="35"/>
      <c r="I63" s="35"/>
      <c r="J63" s="40">
        <f>SUBTOTAL(109,Alojamiento14385062748698110122134[COSTO REAL],Transporte174153657789101113125137[Costo real],Seguro184254667890102114126138[COSTO REAL],Comida214557698193105117129141[COSTO REAL],Mascotas234759718395107119131143[COSTO REAL],CuidadoPersonal254961738597109121133145[Coste real],Entretenimiento15395163758799111123135[COSTO REAL],Prestamos164052647688100112124136[COSTO REAL],Impuestos194355677991103115127139[COSTO REAL],Ahorros204456688092104116128140[COSTO REAL],Regalos224658708294106118130142[[COSTO REAL ]],Legal244860728496108120132144[COSTO REAL])</f>
        <v>0</v>
      </c>
    </row>
    <row r="64" spans="1:10" ht="24.95" customHeight="1">
      <c r="B64" s="23" t="s">
        <v>88</v>
      </c>
      <c r="C64" s="24">
        <v>0</v>
      </c>
      <c r="D64" s="24">
        <v>0</v>
      </c>
      <c r="E64" s="24">
        <f>CuidadoPersonal254961738597109121133145[[#This Row],[Costo previsto]]-CuidadoPersonal254961738597109121133145[[#This Row],[Coste real]]</f>
        <v>0</v>
      </c>
      <c r="F64" s="9"/>
      <c r="G64" s="35"/>
      <c r="H64" s="35"/>
      <c r="I64" s="35"/>
      <c r="J64" s="40"/>
    </row>
    <row r="65" spans="2:10" ht="24.95" customHeight="1">
      <c r="B65" s="23" t="s">
        <v>18</v>
      </c>
      <c r="C65" s="24">
        <v>0</v>
      </c>
      <c r="D65" s="24">
        <v>0</v>
      </c>
      <c r="E65" s="24">
        <f>CuidadoPersonal254961738597109121133145[[#This Row],[Costo previsto]]-CuidadoPersonal254961738597109121133145[[#This Row],[Coste real]]</f>
        <v>0</v>
      </c>
      <c r="F65" s="9"/>
      <c r="G65" s="35" t="s">
        <v>91</v>
      </c>
      <c r="H65" s="35"/>
      <c r="I65" s="35"/>
      <c r="J65" s="40">
        <f>J61-J63</f>
        <v>0</v>
      </c>
    </row>
    <row r="66" spans="2:10" ht="24.95" customHeight="1">
      <c r="B66" s="25" t="s">
        <v>19</v>
      </c>
      <c r="C66" s="26">
        <f>SUBTOTAL(109,CuidadoPersonal254961738597109121133145[Costo previsto])</f>
        <v>0</v>
      </c>
      <c r="D66" s="26">
        <f>SUBTOTAL(109,CuidadoPersonal254961738597109121133145[Coste real])</f>
        <v>0</v>
      </c>
      <c r="E66" s="26">
        <f>SUBTOTAL(109,CuidadoPersonal254961738597109121133145[Diferencia])</f>
        <v>0</v>
      </c>
      <c r="F66" s="9"/>
      <c r="G66" s="35"/>
      <c r="H66" s="35"/>
      <c r="I66" s="35"/>
      <c r="J66" s="40"/>
    </row>
    <row r="67" spans="2:10">
      <c r="B67" s="42"/>
      <c r="C67" s="42"/>
      <c r="D67" s="42"/>
      <c r="E67" s="42"/>
    </row>
  </sheetData>
  <mergeCells count="26">
    <mergeCell ref="G63:I64"/>
    <mergeCell ref="J63:J64"/>
    <mergeCell ref="G65:I66"/>
    <mergeCell ref="J65:J66"/>
    <mergeCell ref="B67:E67"/>
    <mergeCell ref="G61:I62"/>
    <mergeCell ref="J61:J62"/>
    <mergeCell ref="G25:J25"/>
    <mergeCell ref="B26:E26"/>
    <mergeCell ref="G34:J34"/>
    <mergeCell ref="B36:E36"/>
    <mergeCell ref="G41:J41"/>
    <mergeCell ref="B43:E43"/>
    <mergeCell ref="G47:J47"/>
    <mergeCell ref="B49:E49"/>
    <mergeCell ref="G53:J53"/>
    <mergeCell ref="B57:E57"/>
    <mergeCell ref="G60:J60"/>
    <mergeCell ref="E8:G9"/>
    <mergeCell ref="H8:H9"/>
    <mergeCell ref="B9:C9"/>
    <mergeCell ref="B4:C4"/>
    <mergeCell ref="E4:G5"/>
    <mergeCell ref="H4:H5"/>
    <mergeCell ref="E6:G7"/>
    <mergeCell ref="H6:H7"/>
  </mergeCells>
  <dataValidations count="12">
    <dataValidation allowBlank="1" showInputMessage="1" showErrorMessage="1" prompt="Cree un presupuesto mensual personal en esta hoja de cálculo. Encontrará instrucciones útiles sobre cómo usar este libro en las celdas de esta columna. Use la flecha hacia abajo para empezar." sqref="A1"/>
    <dataValidation allowBlank="1" showInputMessage="1" showErrorMessage="1" prompt="El título de esta hoja de cálculo está en la celda C2. La instrucción siguiente se encuentra en la celda A4." sqref="A2"/>
    <dataValidation allowBlank="1" showInputMessage="1" showErrorMessage="1" prompt="La etiqueta Ingresos mensuales previstos está en la celda de la derecha. Escriba el Ingreso 1 en la celda C5 y el Ingreso adicional en la C6 para calcular el total de ingresos mensuales en la celda C7. La instrucción siguiente se encuentra en la celda A7." sqref="A4"/>
    <dataValidation allowBlank="1" showInputMessage="1" showErrorMessage="1" prompt="El saldo previsto se calcula automáticamente en la celda H4; el saldo real, en la H6; y la diferencia, en la celda H8. La instrucción siguiente se encuentra en la celda A9." sqref="A7"/>
    <dataValidation allowBlank="1" showInputMessage="1" showErrorMessage="1" prompt="La etiqueta Ingresos mensuales reales está en la celda de la derecha. Escriba el Ingreso 1 en la celda C10 y el Ingreso adicional en la C11 para calcular el total de ingresos mensuales en la celda C12. La instrucción siguiente está en la celda A14." sqref="A9"/>
    <dataValidation allowBlank="1" showInputMessage="1" showErrorMessage="1" prompt="Escriba la información en la tabla Alojamiento, empezando por la celda de la derecha y en la tabla Entretenimiento, empezando por la celda G14. La instrucción siguiente se encuentra en la celda A27." sqref="A14"/>
    <dataValidation allowBlank="1" showInputMessage="1" showErrorMessage="1" prompt="Escriba la información en la tabla Transporte, empezando por la celda de la derecha y en la tabla Préstamos, empezando por la celda G26. La instrucción siguiente se encuentra en la celda A37." sqref="A27"/>
    <dataValidation allowBlank="1" showInputMessage="1" showErrorMessage="1" prompt="Escriba la información en la tabla Seguro, empezando por la celda de la derecha y en la tabla Impuestos, empezando por la celda G35. La instrucción siguiente se encuentra en la celda A44." sqref="A37"/>
    <dataValidation allowBlank="1" showInputMessage="1" showErrorMessage="1" prompt="Escriba la información en la tabla Comida, empezando por la celda de la derecha y en la tabla Ahorros, empezando por la celda G42. La instrucción siguiente se encuentra en la celda A50." sqref="A44"/>
    <dataValidation allowBlank="1" showInputMessage="1" showErrorMessage="1" prompt="Escriba la información en la tabla Mascotas, empezando por la celda de la derecha y en la tabla Regalos, empezando por la celda G48. La instrucción siguiente se encuentra en la celda A58." sqref="A50"/>
    <dataValidation allowBlank="1" showInputMessage="1" showErrorMessage="1" prompt="Escriba la información en la tabla Cuidado personal, empezando por la celda de la derecha y en la tabla Legal, empezando por la celda G54. La instrucción siguiente se encuentra en la celda A61." sqref="A58"/>
    <dataValidation allowBlank="1" showInputMessage="1" showErrorMessage="1" prompt="El total de gastos previstos se calcula automáticamente en la celda J61; el total del gasto real, en la J63; y la diferencia total, en la celda J65." sqref="A61"/>
  </dataValidations>
  <pageMargins left="0.7" right="0.7" top="0.75" bottom="0.75" header="0.3" footer="0.3"/>
  <pageSetup paperSize="9" orientation="portrait" r:id="rId1"/>
  <drawing r:id="rId2"/>
  <tableParts count="12">
    <tablePart r:id="rId3"/>
    <tablePart r:id="rId4"/>
    <tablePart r:id="rId5"/>
    <tablePart r:id="rId6"/>
    <tablePart r:id="rId7"/>
    <tablePart r:id="rId8"/>
    <tablePart r:id="rId9"/>
    <tablePart r:id="rId10"/>
    <tablePart r:id="rId11"/>
    <tablePart r:id="rId12"/>
    <tablePart r:id="rId13"/>
    <tablePart r:id="rId14"/>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O67"/>
  <sheetViews>
    <sheetView tabSelected="1" zoomScale="70" zoomScaleNormal="70" workbookViewId="0">
      <selection activeCell="M68" sqref="M68"/>
    </sheetView>
  </sheetViews>
  <sheetFormatPr baseColWidth="10" defaultColWidth="9" defaultRowHeight="12.75"/>
  <cols>
    <col min="1" max="1" width="2.625" style="4" customWidth="1"/>
    <col min="2" max="2" width="34.875" customWidth="1"/>
    <col min="3" max="3" width="20.875" customWidth="1"/>
    <col min="4" max="4" width="17.625" customWidth="1"/>
    <col min="5" max="5" width="16" customWidth="1"/>
    <col min="6" max="6" width="2.625" customWidth="1"/>
    <col min="7" max="7" width="34.875" customWidth="1"/>
    <col min="8" max="8" width="19.625" customWidth="1"/>
    <col min="9" max="9" width="16.25" customWidth="1"/>
    <col min="10" max="10" width="17.625" customWidth="1"/>
    <col min="11" max="11" width="2.625" customWidth="1"/>
  </cols>
  <sheetData>
    <row r="1" spans="1:15" s="1" customFormat="1" ht="14.25">
      <c r="A1" s="3" t="s">
        <v>2</v>
      </c>
    </row>
    <row r="2" spans="1:15" s="1" customFormat="1" ht="71.25" customHeight="1">
      <c r="A2" s="10" t="s">
        <v>3</v>
      </c>
      <c r="B2" s="12"/>
      <c r="C2" s="13"/>
      <c r="D2" s="14"/>
      <c r="E2" s="14"/>
      <c r="F2" s="14"/>
      <c r="G2" s="14"/>
      <c r="H2" s="14"/>
      <c r="I2" s="15"/>
      <c r="J2" s="15"/>
      <c r="K2" s="12"/>
    </row>
    <row r="3" spans="1:15">
      <c r="B3" s="16"/>
      <c r="C3" s="16"/>
      <c r="D3" s="16"/>
      <c r="E3" s="16"/>
      <c r="F3" s="16"/>
      <c r="G3" s="16"/>
      <c r="H3" s="16"/>
      <c r="I3" s="16"/>
      <c r="J3" s="16"/>
      <c r="K3" s="16"/>
    </row>
    <row r="4" spans="1:15" ht="24.95" customHeight="1">
      <c r="A4" s="4" t="s">
        <v>4</v>
      </c>
      <c r="B4" s="37" t="s">
        <v>67</v>
      </c>
      <c r="C4" s="39"/>
      <c r="D4" s="6"/>
      <c r="E4" s="35" t="s">
        <v>92</v>
      </c>
      <c r="F4" s="35"/>
      <c r="G4" s="35"/>
      <c r="H4" s="36">
        <f>C7-J61</f>
        <v>0</v>
      </c>
    </row>
    <row r="5" spans="1:15" ht="24.95" customHeight="1">
      <c r="B5" s="17" t="s">
        <v>14</v>
      </c>
      <c r="C5" s="18">
        <v>0</v>
      </c>
      <c r="E5" s="35"/>
      <c r="F5" s="35"/>
      <c r="G5" s="35"/>
      <c r="H5" s="36"/>
      <c r="I5" s="7"/>
    </row>
    <row r="6" spans="1:15" ht="24.95" customHeight="1">
      <c r="B6" s="17" t="s">
        <v>69</v>
      </c>
      <c r="C6" s="18">
        <v>0</v>
      </c>
      <c r="E6" s="35" t="s">
        <v>93</v>
      </c>
      <c r="F6" s="35"/>
      <c r="G6" s="35"/>
      <c r="H6" s="36">
        <f>C12-J63</f>
        <v>0</v>
      </c>
      <c r="I6" s="7"/>
    </row>
    <row r="7" spans="1:15" ht="24.95" customHeight="1">
      <c r="A7" s="4" t="s">
        <v>5</v>
      </c>
      <c r="B7" s="17" t="s">
        <v>70</v>
      </c>
      <c r="C7" s="20">
        <f>SUM(C5:C6)</f>
        <v>0</v>
      </c>
      <c r="E7" s="35"/>
      <c r="F7" s="35"/>
      <c r="G7" s="35"/>
      <c r="H7" s="36"/>
      <c r="I7" s="7"/>
    </row>
    <row r="8" spans="1:15" ht="24.95" customHeight="1">
      <c r="B8" s="2"/>
      <c r="C8" s="2"/>
      <c r="D8" s="2"/>
      <c r="E8" s="35" t="s">
        <v>94</v>
      </c>
      <c r="F8" s="35"/>
      <c r="G8" s="35"/>
      <c r="H8" s="36">
        <f>H6-H4</f>
        <v>0</v>
      </c>
      <c r="I8" s="7"/>
    </row>
    <row r="9" spans="1:15" ht="24.95" customHeight="1">
      <c r="A9" s="4" t="s">
        <v>6</v>
      </c>
      <c r="B9" s="37" t="s">
        <v>68</v>
      </c>
      <c r="C9" s="38"/>
      <c r="D9" s="6"/>
      <c r="E9" s="35"/>
      <c r="F9" s="35"/>
      <c r="G9" s="35"/>
      <c r="H9" s="36"/>
      <c r="I9" s="8"/>
    </row>
    <row r="10" spans="1:15" ht="24.95" customHeight="1">
      <c r="B10" s="17" t="s">
        <v>99</v>
      </c>
      <c r="C10" s="18">
        <v>0</v>
      </c>
      <c r="I10" s="7"/>
    </row>
    <row r="11" spans="1:15" ht="24.95" customHeight="1">
      <c r="B11" s="17" t="s">
        <v>69</v>
      </c>
      <c r="C11" s="18">
        <v>0</v>
      </c>
      <c r="E11" s="7"/>
      <c r="H11" s="11"/>
      <c r="I11" s="11"/>
    </row>
    <row r="12" spans="1:15" ht="24.95" customHeight="1">
      <c r="B12" s="19" t="s">
        <v>70</v>
      </c>
      <c r="C12" s="20">
        <f>SUM(C10:C11)</f>
        <v>0</v>
      </c>
    </row>
    <row r="14" spans="1:15" ht="24.95" customHeight="1">
      <c r="A14" s="4" t="s">
        <v>7</v>
      </c>
      <c r="B14" s="21" t="s">
        <v>74</v>
      </c>
      <c r="C14" s="21" t="s">
        <v>76</v>
      </c>
      <c r="D14" s="21" t="s">
        <v>75</v>
      </c>
      <c r="E14" s="21" t="s">
        <v>77</v>
      </c>
      <c r="F14" s="9"/>
      <c r="G14" s="21" t="s">
        <v>44</v>
      </c>
      <c r="H14" s="21" t="s">
        <v>76</v>
      </c>
      <c r="I14" s="21" t="s">
        <v>75</v>
      </c>
      <c r="J14" s="21" t="s">
        <v>77</v>
      </c>
      <c r="O14" s="22"/>
    </row>
    <row r="15" spans="1:15" ht="25.5" customHeight="1">
      <c r="B15" s="23" t="s">
        <v>78</v>
      </c>
      <c r="C15" s="24">
        <v>0</v>
      </c>
      <c r="D15" s="24">
        <v>0</v>
      </c>
      <c r="E15" s="24">
        <f>Alojamiento14385062748698110122134146[[#This Row],[COSTO PREVISTO]]-Alojamiento14385062748698110122134146[[#This Row],[COSTO REAL]]</f>
        <v>0</v>
      </c>
      <c r="F15" s="9"/>
      <c r="G15" s="23" t="s">
        <v>45</v>
      </c>
      <c r="H15" s="24">
        <v>0</v>
      </c>
      <c r="I15" s="24">
        <v>0</v>
      </c>
      <c r="J15" s="24">
        <f>Entretenimiento15395163758799111123135147[[#This Row],[COSTO PREVISTO]]-Entretenimiento15395163758799111123135147[[#This Row],[COSTO REAL]]</f>
        <v>0</v>
      </c>
    </row>
    <row r="16" spans="1:15" ht="24.95" customHeight="1">
      <c r="B16" s="23" t="s">
        <v>61</v>
      </c>
      <c r="C16" s="24">
        <v>0</v>
      </c>
      <c r="D16" s="24">
        <v>0</v>
      </c>
      <c r="E16" s="24">
        <f>Alojamiento14385062748698110122134146[[#This Row],[COSTO PREVISTO]]-Alojamiento14385062748698110122134146[[#This Row],[COSTO REAL]]</f>
        <v>0</v>
      </c>
      <c r="F16" s="9"/>
      <c r="G16" s="23" t="s">
        <v>46</v>
      </c>
      <c r="H16" s="24">
        <v>0</v>
      </c>
      <c r="I16" s="24">
        <v>0</v>
      </c>
      <c r="J16" s="24">
        <f>Entretenimiento15395163758799111123135147[[#This Row],[COSTO PREVISTO]]-Entretenimiento15395163758799111123135147[[#This Row],[COSTO REAL]]</f>
        <v>0</v>
      </c>
    </row>
    <row r="17" spans="1:10" ht="24.95" customHeight="1">
      <c r="B17" s="23" t="s">
        <v>15</v>
      </c>
      <c r="C17" s="24">
        <v>0</v>
      </c>
      <c r="D17" s="24">
        <v>0</v>
      </c>
      <c r="E17" s="24">
        <f>Alojamiento14385062748698110122134146[[#This Row],[COSTO PREVISTO]]-Alojamiento14385062748698110122134146[[#This Row],[COSTO REAL]]</f>
        <v>0</v>
      </c>
      <c r="F17" s="9"/>
      <c r="G17" s="23" t="s">
        <v>47</v>
      </c>
      <c r="H17" s="24">
        <v>0</v>
      </c>
      <c r="I17" s="24">
        <v>0</v>
      </c>
      <c r="J17" s="24">
        <f>Entretenimiento15395163758799111123135147[[#This Row],[COSTO PREVISTO]]-Entretenimiento15395163758799111123135147[[#This Row],[COSTO REAL]]</f>
        <v>0</v>
      </c>
    </row>
    <row r="18" spans="1:10" ht="24.95" customHeight="1">
      <c r="B18" s="23" t="s">
        <v>16</v>
      </c>
      <c r="C18" s="24">
        <v>0</v>
      </c>
      <c r="D18" s="24">
        <v>0</v>
      </c>
      <c r="E18" s="24">
        <f>Alojamiento14385062748698110122134146[[#This Row],[COSTO PREVISTO]]-Alojamiento14385062748698110122134146[[#This Row],[COSTO REAL]]</f>
        <v>0</v>
      </c>
      <c r="F18" s="9"/>
      <c r="G18" s="23" t="s">
        <v>48</v>
      </c>
      <c r="H18" s="24">
        <v>0</v>
      </c>
      <c r="I18" s="24">
        <v>0</v>
      </c>
      <c r="J18" s="24">
        <f>Entretenimiento15395163758799111123135147[[#This Row],[COSTO PREVISTO]]-Entretenimiento15395163758799111123135147[[#This Row],[COSTO REAL]]</f>
        <v>0</v>
      </c>
    </row>
    <row r="19" spans="1:10" ht="24.95" customHeight="1">
      <c r="B19" s="23" t="s">
        <v>71</v>
      </c>
      <c r="C19" s="24">
        <v>0</v>
      </c>
      <c r="D19" s="24">
        <v>0</v>
      </c>
      <c r="E19" s="24">
        <f>Alojamiento14385062748698110122134146[[#This Row],[COSTO PREVISTO]]-Alojamiento14385062748698110122134146[[#This Row],[COSTO REAL]]</f>
        <v>0</v>
      </c>
      <c r="F19" s="9"/>
      <c r="G19" s="23" t="s">
        <v>82</v>
      </c>
      <c r="H19" s="24">
        <v>0</v>
      </c>
      <c r="I19" s="24">
        <v>0</v>
      </c>
      <c r="J19" s="24">
        <f>Entretenimiento15395163758799111123135147[[#This Row],[COSTO PREVISTO]]-Entretenimiento15395163758799111123135147[[#This Row],[COSTO REAL]]</f>
        <v>0</v>
      </c>
    </row>
    <row r="20" spans="1:10" ht="24.95" customHeight="1">
      <c r="B20" s="23" t="s">
        <v>72</v>
      </c>
      <c r="C20" s="24">
        <v>0</v>
      </c>
      <c r="D20" s="24">
        <v>0</v>
      </c>
      <c r="E20" s="24">
        <f>Alojamiento14385062748698110122134146[[#This Row],[COSTO PREVISTO]]-Alojamiento14385062748698110122134146[[#This Row],[COSTO REAL]]</f>
        <v>0</v>
      </c>
      <c r="F20" s="9"/>
      <c r="G20" s="23" t="s">
        <v>49</v>
      </c>
      <c r="H20" s="24">
        <v>0</v>
      </c>
      <c r="I20" s="24">
        <v>0</v>
      </c>
      <c r="J20" s="24">
        <f>Entretenimiento15395163758799111123135147[[#This Row],[COSTO PREVISTO]]-Entretenimiento15395163758799111123135147[[#This Row],[COSTO REAL]]</f>
        <v>0</v>
      </c>
    </row>
    <row r="21" spans="1:10" ht="24.95" customHeight="1">
      <c r="B21" s="23" t="s">
        <v>81</v>
      </c>
      <c r="C21" s="24">
        <v>0</v>
      </c>
      <c r="D21" s="24">
        <v>0</v>
      </c>
      <c r="E21" s="24">
        <f>Alojamiento14385062748698110122134146[[#This Row],[COSTO PREVISTO]]-Alojamiento14385062748698110122134146[[#This Row],[COSTO REAL]]</f>
        <v>0</v>
      </c>
      <c r="F21" s="9"/>
      <c r="G21" s="23" t="s">
        <v>18</v>
      </c>
      <c r="H21" s="24">
        <v>0</v>
      </c>
      <c r="I21" s="24">
        <v>0</v>
      </c>
      <c r="J21" s="24">
        <f>Entretenimiento15395163758799111123135147[[#This Row],[COSTO PREVISTO]]-Entretenimiento15395163758799111123135147[[#This Row],[COSTO REAL]]</f>
        <v>0</v>
      </c>
    </row>
    <row r="22" spans="1:10" ht="24.95" customHeight="1">
      <c r="B22" s="23" t="s">
        <v>73</v>
      </c>
      <c r="C22" s="24">
        <v>0</v>
      </c>
      <c r="D22" s="24">
        <v>0</v>
      </c>
      <c r="E22" s="24">
        <f>Alojamiento14385062748698110122134146[[#This Row],[COSTO PREVISTO]]-Alojamiento14385062748698110122134146[[#This Row],[COSTO REAL]]</f>
        <v>0</v>
      </c>
      <c r="F22" s="9"/>
      <c r="G22" s="23" t="s">
        <v>18</v>
      </c>
      <c r="H22" s="24">
        <v>0</v>
      </c>
      <c r="I22" s="24">
        <v>0</v>
      </c>
      <c r="J22" s="24">
        <f>Entretenimiento15395163758799111123135147[[#This Row],[COSTO PREVISTO]]-Entretenimiento15395163758799111123135147[[#This Row],[COSTO REAL]]</f>
        <v>0</v>
      </c>
    </row>
    <row r="23" spans="1:10" ht="24.95" customHeight="1">
      <c r="B23" s="23" t="s">
        <v>17</v>
      </c>
      <c r="C23" s="24">
        <v>0</v>
      </c>
      <c r="D23" s="24">
        <v>0</v>
      </c>
      <c r="E23" s="24">
        <f>Alojamiento14385062748698110122134146[[#This Row],[COSTO PREVISTO]]-Alojamiento14385062748698110122134146[[#This Row],[COSTO REAL]]</f>
        <v>0</v>
      </c>
      <c r="F23" s="9"/>
      <c r="G23" s="23" t="s">
        <v>18</v>
      </c>
      <c r="H23" s="24">
        <v>0</v>
      </c>
      <c r="I23" s="24">
        <v>0</v>
      </c>
      <c r="J23" s="24">
        <f>Entretenimiento15395163758799111123135147[[#This Row],[COSTO PREVISTO]]-Entretenimiento15395163758799111123135147[[#This Row],[COSTO REAL]]</f>
        <v>0</v>
      </c>
    </row>
    <row r="24" spans="1:10" ht="24.95" customHeight="1">
      <c r="B24" s="23" t="s">
        <v>18</v>
      </c>
      <c r="C24" s="24">
        <v>0</v>
      </c>
      <c r="D24" s="24">
        <v>0</v>
      </c>
      <c r="E24" s="24">
        <f>Alojamiento14385062748698110122134146[[#This Row],[COSTO PREVISTO]]-Alojamiento14385062748698110122134146[[#This Row],[COSTO REAL]]</f>
        <v>0</v>
      </c>
      <c r="F24" s="9"/>
      <c r="G24" s="25" t="s">
        <v>19</v>
      </c>
      <c r="H24" s="27" t="s">
        <v>66</v>
      </c>
      <c r="I24" s="27" t="s">
        <v>66</v>
      </c>
      <c r="J24" s="26">
        <f>SUBTOTAL(109,Entretenimiento15395163758799111123135147[DIFERENCIA])</f>
        <v>0</v>
      </c>
    </row>
    <row r="25" spans="1:10" ht="24.95" customHeight="1">
      <c r="B25" s="25" t="s">
        <v>19</v>
      </c>
      <c r="C25" s="26">
        <f>SUBTOTAL(109,Alojamiento14385062748698110122134146[COSTO PREVISTO])</f>
        <v>0</v>
      </c>
      <c r="D25" s="26">
        <f>SUBTOTAL(109,Alojamiento14385062748698110122134146[COSTO REAL])</f>
        <v>0</v>
      </c>
      <c r="E25" s="26">
        <f>SUBTOTAL(109,Alojamiento14385062748698110122134146[DIFERENCIA])</f>
        <v>0</v>
      </c>
      <c r="F25" s="9"/>
      <c r="G25" s="41"/>
      <c r="H25" s="41"/>
      <c r="I25" s="41"/>
      <c r="J25" s="41"/>
    </row>
    <row r="26" spans="1:10" ht="24.95" customHeight="1">
      <c r="B26" s="41"/>
      <c r="C26" s="41"/>
      <c r="D26" s="41"/>
      <c r="E26" s="41"/>
      <c r="F26" s="9"/>
      <c r="G26" s="21" t="s">
        <v>50</v>
      </c>
      <c r="H26" s="21" t="s">
        <v>76</v>
      </c>
      <c r="I26" s="21" t="s">
        <v>75</v>
      </c>
      <c r="J26" s="21" t="s">
        <v>77</v>
      </c>
    </row>
    <row r="27" spans="1:10" ht="24.95" customHeight="1">
      <c r="A27" s="4" t="s">
        <v>8</v>
      </c>
      <c r="B27" s="21" t="s">
        <v>20</v>
      </c>
      <c r="C27" s="21" t="s">
        <v>40</v>
      </c>
      <c r="D27" s="21" t="s">
        <v>41</v>
      </c>
      <c r="E27" s="21" t="s">
        <v>43</v>
      </c>
      <c r="F27" s="9"/>
      <c r="G27" s="23" t="s">
        <v>51</v>
      </c>
      <c r="H27" s="24">
        <v>0</v>
      </c>
      <c r="I27" s="24">
        <v>0</v>
      </c>
      <c r="J27" s="24">
        <f>Prestamos164052647688100112124136148[[#This Row],[COSTO PREVISTO]]-Prestamos164052647688100112124136148[[#This Row],[COSTO REAL]]</f>
        <v>0</v>
      </c>
    </row>
    <row r="28" spans="1:10" ht="24.95" customHeight="1">
      <c r="B28" s="23" t="s">
        <v>62</v>
      </c>
      <c r="C28" s="24">
        <v>0</v>
      </c>
      <c r="D28" s="24">
        <v>0</v>
      </c>
      <c r="E28" s="24">
        <f>Transporte174153657789101113125137149[[#This Row],[Costo previsto]]-Transporte174153657789101113125137149[[#This Row],[Costo real]]</f>
        <v>0</v>
      </c>
      <c r="F28" s="9"/>
      <c r="G28" s="23" t="s">
        <v>52</v>
      </c>
      <c r="H28" s="24">
        <v>0</v>
      </c>
      <c r="I28" s="24">
        <v>0</v>
      </c>
      <c r="J28" s="24">
        <f>Prestamos164052647688100112124136148[[#This Row],[COSTO PREVISTO]]-Prestamos164052647688100112124136148[[#This Row],[COSTO REAL]]</f>
        <v>0</v>
      </c>
    </row>
    <row r="29" spans="1:10" ht="24.95" customHeight="1">
      <c r="B29" s="23" t="s">
        <v>83</v>
      </c>
      <c r="C29" s="24">
        <v>0</v>
      </c>
      <c r="D29" s="24">
        <v>0</v>
      </c>
      <c r="E29" s="24">
        <f>Transporte174153657789101113125137149[[#This Row],[Costo previsto]]-Transporte174153657789101113125137149[[#This Row],[Costo real]]</f>
        <v>0</v>
      </c>
      <c r="F29" s="9"/>
      <c r="G29" s="23" t="s">
        <v>53</v>
      </c>
      <c r="H29" s="24">
        <v>0</v>
      </c>
      <c r="I29" s="24">
        <v>0</v>
      </c>
      <c r="J29" s="24">
        <f>Prestamos164052647688100112124136148[[#This Row],[COSTO PREVISTO]]-Prestamos164052647688100112124136148[[#This Row],[COSTO REAL]]</f>
        <v>0</v>
      </c>
    </row>
    <row r="30" spans="1:10" ht="24.95" customHeight="1">
      <c r="B30" s="23" t="s">
        <v>21</v>
      </c>
      <c r="C30" s="24">
        <v>0</v>
      </c>
      <c r="D30" s="24">
        <v>0</v>
      </c>
      <c r="E30" s="24">
        <f>Transporte174153657789101113125137149[[#This Row],[Costo previsto]]-Transporte174153657789101113125137149[[#This Row],[Costo real]]</f>
        <v>0</v>
      </c>
      <c r="F30" s="9"/>
      <c r="G30" s="23" t="s">
        <v>53</v>
      </c>
      <c r="H30" s="24">
        <v>0</v>
      </c>
      <c r="I30" s="24">
        <v>0</v>
      </c>
      <c r="J30" s="24">
        <f>Prestamos164052647688100112124136148[[#This Row],[COSTO PREVISTO]]-Prestamos164052647688100112124136148[[#This Row],[COSTO REAL]]</f>
        <v>0</v>
      </c>
    </row>
    <row r="31" spans="1:10" ht="24.95" customHeight="1">
      <c r="B31" s="23" t="s">
        <v>22</v>
      </c>
      <c r="C31" s="24">
        <v>0</v>
      </c>
      <c r="D31" s="24">
        <v>0</v>
      </c>
      <c r="E31" s="24">
        <f>Transporte174153657789101113125137149[[#This Row],[Costo previsto]]-Transporte174153657789101113125137149[[#This Row],[Costo real]]</f>
        <v>0</v>
      </c>
      <c r="F31" s="9"/>
      <c r="G31" s="23" t="s">
        <v>53</v>
      </c>
      <c r="H31" s="24">
        <v>0</v>
      </c>
      <c r="I31" s="24">
        <v>0</v>
      </c>
      <c r="J31" s="24">
        <f>Prestamos164052647688100112124136148[[#This Row],[COSTO PREVISTO]]-Prestamos164052647688100112124136148[[#This Row],[COSTO REAL]]</f>
        <v>0</v>
      </c>
    </row>
    <row r="32" spans="1:10" ht="24.95" customHeight="1">
      <c r="B32" s="23" t="s">
        <v>23</v>
      </c>
      <c r="C32" s="24">
        <v>0</v>
      </c>
      <c r="D32" s="24">
        <v>0</v>
      </c>
      <c r="E32" s="24">
        <f>Transporte174153657789101113125137149[[#This Row],[Costo previsto]]-Transporte174153657789101113125137149[[#This Row],[Costo real]]</f>
        <v>0</v>
      </c>
      <c r="F32" s="9"/>
      <c r="G32" s="23" t="s">
        <v>18</v>
      </c>
      <c r="H32" s="24">
        <v>0</v>
      </c>
      <c r="I32" s="24">
        <v>0</v>
      </c>
      <c r="J32" s="24">
        <f>Prestamos164052647688100112124136148[[#This Row],[COSTO PREVISTO]]-Prestamos164052647688100112124136148[[#This Row],[COSTO REAL]]</f>
        <v>0</v>
      </c>
    </row>
    <row r="33" spans="1:10" ht="24.95" customHeight="1">
      <c r="B33" s="23" t="s">
        <v>24</v>
      </c>
      <c r="C33" s="24">
        <v>0</v>
      </c>
      <c r="D33" s="24">
        <v>0</v>
      </c>
      <c r="E33" s="24">
        <f>Transporte174153657789101113125137149[[#This Row],[Costo previsto]]-Transporte174153657789101113125137149[[#This Row],[Costo real]]</f>
        <v>0</v>
      </c>
      <c r="F33" s="9"/>
      <c r="G33" s="25" t="s">
        <v>19</v>
      </c>
      <c r="H33" s="27" t="s">
        <v>66</v>
      </c>
      <c r="I33" s="27" t="s">
        <v>66</v>
      </c>
      <c r="J33" s="26">
        <f>SUBTOTAL(109,Prestamos164052647688100112124136148[DIFERENCIA])</f>
        <v>0</v>
      </c>
    </row>
    <row r="34" spans="1:10" ht="24.95" customHeight="1">
      <c r="B34" s="23" t="s">
        <v>64</v>
      </c>
      <c r="C34" s="24">
        <v>0</v>
      </c>
      <c r="D34" s="24">
        <v>0</v>
      </c>
      <c r="E34" s="24">
        <f>Transporte174153657789101113125137149[[#This Row],[Costo previsto]]-Transporte174153657789101113125137149[[#This Row],[Costo real]]</f>
        <v>0</v>
      </c>
      <c r="F34" s="9"/>
      <c r="G34" s="41"/>
      <c r="H34" s="41"/>
      <c r="I34" s="41"/>
      <c r="J34" s="41"/>
    </row>
    <row r="35" spans="1:10" ht="24.95" customHeight="1">
      <c r="B35" s="25" t="s">
        <v>19</v>
      </c>
      <c r="C35" s="26">
        <f>SUBTOTAL(109,Transporte174153657789101113125137149[Costo previsto])</f>
        <v>0</v>
      </c>
      <c r="D35" s="26">
        <f>SUBTOTAL(109,Transporte174153657789101113125137149[Costo real])</f>
        <v>0</v>
      </c>
      <c r="E35" s="26">
        <f>SUBTOTAL(109,Transporte174153657789101113125137149[Diferencia])</f>
        <v>0</v>
      </c>
      <c r="F35" s="9"/>
      <c r="G35" s="21" t="s">
        <v>54</v>
      </c>
      <c r="H35" s="21" t="s">
        <v>76</v>
      </c>
      <c r="I35" s="21" t="s">
        <v>75</v>
      </c>
      <c r="J35" s="21" t="s">
        <v>77</v>
      </c>
    </row>
    <row r="36" spans="1:10" ht="24.95" customHeight="1">
      <c r="B36" s="41"/>
      <c r="C36" s="41"/>
      <c r="D36" s="41"/>
      <c r="E36" s="41"/>
      <c r="F36" s="9"/>
      <c r="G36" s="23" t="s">
        <v>55</v>
      </c>
      <c r="H36" s="24">
        <v>0</v>
      </c>
      <c r="I36" s="24">
        <v>0</v>
      </c>
      <c r="J36" s="24">
        <f>Impuestos194355677991103115127139151[[#This Row],[COSTO PREVISTO]]-Impuestos194355677991103115127139151[[#This Row],[COSTO REAL]]</f>
        <v>0</v>
      </c>
    </row>
    <row r="37" spans="1:10" ht="24.95" customHeight="1">
      <c r="A37" s="4" t="s">
        <v>9</v>
      </c>
      <c r="B37" s="21" t="s">
        <v>25</v>
      </c>
      <c r="C37" s="21" t="s">
        <v>76</v>
      </c>
      <c r="D37" s="21" t="s">
        <v>75</v>
      </c>
      <c r="E37" s="21" t="s">
        <v>77</v>
      </c>
      <c r="F37" s="9"/>
      <c r="G37" s="23" t="s">
        <v>56</v>
      </c>
      <c r="H37" s="24">
        <v>0</v>
      </c>
      <c r="I37" s="24">
        <v>0</v>
      </c>
      <c r="J37" s="24">
        <f>Impuestos194355677991103115127139151[[#This Row],[COSTO PREVISTO]]-Impuestos194355677991103115127139151[[#This Row],[COSTO REAL]]</f>
        <v>0</v>
      </c>
    </row>
    <row r="38" spans="1:10" ht="24.95" customHeight="1">
      <c r="B38" s="23" t="s">
        <v>26</v>
      </c>
      <c r="C38" s="24">
        <v>0</v>
      </c>
      <c r="D38" s="24">
        <v>0</v>
      </c>
      <c r="E38" s="24">
        <f>Seguro184254667890102114126138150[[#This Row],[COSTO PREVISTO]]-Seguro184254667890102114126138150[[#This Row],[COSTO REAL]]</f>
        <v>0</v>
      </c>
      <c r="F38" s="9"/>
      <c r="G38" s="23" t="s">
        <v>57</v>
      </c>
      <c r="H38" s="24">
        <v>0</v>
      </c>
      <c r="I38" s="24">
        <v>0</v>
      </c>
      <c r="J38" s="24">
        <f>Impuestos194355677991103115127139151[[#This Row],[COSTO PREVISTO]]-Impuestos194355677991103115127139151[[#This Row],[COSTO REAL]]</f>
        <v>0</v>
      </c>
    </row>
    <row r="39" spans="1:10" ht="24.95" customHeight="1">
      <c r="B39" s="23" t="s">
        <v>98</v>
      </c>
      <c r="C39" s="24">
        <v>0</v>
      </c>
      <c r="D39" s="24">
        <v>0</v>
      </c>
      <c r="E39" s="24">
        <f>Seguro184254667890102114126138150[[#This Row],[COSTO PREVISTO]]-Seguro184254667890102114126138150[[#This Row],[COSTO REAL]]</f>
        <v>0</v>
      </c>
      <c r="F39" s="9"/>
      <c r="G39" s="23" t="s">
        <v>18</v>
      </c>
      <c r="H39" s="24">
        <v>0</v>
      </c>
      <c r="I39" s="24">
        <v>0</v>
      </c>
      <c r="J39" s="24">
        <f>Impuestos194355677991103115127139151[[#This Row],[COSTO PREVISTO]]-Impuestos194355677991103115127139151[[#This Row],[COSTO REAL]]</f>
        <v>0</v>
      </c>
    </row>
    <row r="40" spans="1:10" ht="24.95" customHeight="1">
      <c r="B40" s="23" t="s">
        <v>27</v>
      </c>
      <c r="C40" s="24">
        <v>0</v>
      </c>
      <c r="D40" s="24">
        <v>0</v>
      </c>
      <c r="E40" s="24">
        <f>Seguro184254667890102114126138150[[#This Row],[COSTO PREVISTO]]-Seguro184254667890102114126138150[[#This Row],[COSTO REAL]]</f>
        <v>0</v>
      </c>
      <c r="F40" s="9"/>
      <c r="G40" s="25" t="s">
        <v>19</v>
      </c>
      <c r="H40" s="27" t="s">
        <v>66</v>
      </c>
      <c r="I40" s="27" t="s">
        <v>66</v>
      </c>
      <c r="J40" s="26">
        <f>SUBTOTAL(109,Impuestos194355677991103115127139151[DIFERENCIA])</f>
        <v>0</v>
      </c>
    </row>
    <row r="41" spans="1:10" ht="24.95" customHeight="1">
      <c r="B41" s="23" t="s">
        <v>18</v>
      </c>
      <c r="C41" s="24">
        <v>0</v>
      </c>
      <c r="D41" s="24">
        <v>0</v>
      </c>
      <c r="E41" s="24">
        <f>Seguro184254667890102114126138150[[#This Row],[COSTO PREVISTO]]-Seguro184254667890102114126138150[[#This Row],[COSTO REAL]]</f>
        <v>0</v>
      </c>
      <c r="F41" s="9"/>
      <c r="G41" s="41"/>
      <c r="H41" s="41"/>
      <c r="I41" s="41"/>
      <c r="J41" s="41"/>
    </row>
    <row r="42" spans="1:10" ht="24.95" customHeight="1">
      <c r="B42" s="25" t="s">
        <v>19</v>
      </c>
      <c r="C42" s="26">
        <f>SUBTOTAL(109,Seguro184254667890102114126138150[COSTO PREVISTO])</f>
        <v>0</v>
      </c>
      <c r="D42" s="26">
        <f>SUBTOTAL(109,Seguro184254667890102114126138150[COSTO REAL])</f>
        <v>0</v>
      </c>
      <c r="E42" s="26">
        <f>SUBTOTAL(109,Seguro184254667890102114126138150[DIFERENCIA])</f>
        <v>0</v>
      </c>
      <c r="F42" s="9"/>
      <c r="G42" s="21" t="s">
        <v>58</v>
      </c>
      <c r="H42" s="21" t="s">
        <v>76</v>
      </c>
      <c r="I42" s="21" t="s">
        <v>75</v>
      </c>
      <c r="J42" s="21" t="s">
        <v>77</v>
      </c>
    </row>
    <row r="43" spans="1:10" ht="24.95" customHeight="1">
      <c r="B43" s="41"/>
      <c r="C43" s="41"/>
      <c r="D43" s="41"/>
      <c r="E43" s="41"/>
      <c r="F43" s="9"/>
      <c r="G43" s="23" t="s">
        <v>96</v>
      </c>
      <c r="H43" s="24">
        <v>0</v>
      </c>
      <c r="I43" s="24">
        <v>0</v>
      </c>
      <c r="J43" s="24">
        <f>Ahorros204456688092104116128140152[[#This Row],[COSTO PREVISTO]]-Ahorros204456688092104116128140152[[#This Row],[COSTO REAL]]</f>
        <v>0</v>
      </c>
    </row>
    <row r="44" spans="1:10" ht="24.95" customHeight="1">
      <c r="A44" s="4" t="s">
        <v>10</v>
      </c>
      <c r="B44" s="21" t="s">
        <v>28</v>
      </c>
      <c r="C44" s="21" t="s">
        <v>76</v>
      </c>
      <c r="D44" s="21" t="s">
        <v>75</v>
      </c>
      <c r="E44" s="21" t="s">
        <v>77</v>
      </c>
      <c r="F44" s="9"/>
      <c r="G44" s="23" t="s">
        <v>97</v>
      </c>
      <c r="H44" s="24">
        <v>0</v>
      </c>
      <c r="I44" s="24">
        <v>0</v>
      </c>
      <c r="J44" s="24">
        <f>Ahorros204456688092104116128140152[[#This Row],[COSTO PREVISTO]]-Ahorros204456688092104116128140152[[#This Row],[COSTO REAL]]</f>
        <v>0</v>
      </c>
    </row>
    <row r="45" spans="1:10" ht="24.95" customHeight="1">
      <c r="B45" s="23" t="s">
        <v>29</v>
      </c>
      <c r="C45" s="24">
        <v>0</v>
      </c>
      <c r="D45" s="24">
        <v>0</v>
      </c>
      <c r="E45" s="24">
        <f>Comida214557698193105117129141153[[#This Row],[COSTO PREVISTO]]-Comida214557698193105117129141153[[#This Row],[COSTO REAL]]</f>
        <v>0</v>
      </c>
      <c r="F45" s="9"/>
      <c r="G45" s="23" t="s">
        <v>18</v>
      </c>
      <c r="H45" s="24">
        <v>0</v>
      </c>
      <c r="I45" s="24">
        <v>0</v>
      </c>
      <c r="J45" s="24">
        <f>Ahorros204456688092104116128140152[[#This Row],[COSTO PREVISTO]]-Ahorros204456688092104116128140152[[#This Row],[COSTO REAL]]</f>
        <v>0</v>
      </c>
    </row>
    <row r="46" spans="1:10" ht="24.95" customHeight="1">
      <c r="B46" s="23" t="s">
        <v>30</v>
      </c>
      <c r="C46" s="24">
        <v>0</v>
      </c>
      <c r="D46" s="24">
        <v>0</v>
      </c>
      <c r="E46" s="24">
        <f>Comida214557698193105117129141153[[#This Row],[COSTO PREVISTO]]-Comida214557698193105117129141153[[#This Row],[COSTO REAL]]</f>
        <v>0</v>
      </c>
      <c r="F46" s="9"/>
      <c r="G46" s="25" t="s">
        <v>19</v>
      </c>
      <c r="H46" s="27" t="s">
        <v>66</v>
      </c>
      <c r="I46" s="27" t="s">
        <v>66</v>
      </c>
      <c r="J46" s="26">
        <f>SUBTOTAL(109,Ahorros204456688092104116128140152[DIFERENCIA])</f>
        <v>0</v>
      </c>
    </row>
    <row r="47" spans="1:10" ht="24.95" customHeight="1">
      <c r="B47" s="23" t="s">
        <v>65</v>
      </c>
      <c r="C47" s="24">
        <v>0</v>
      </c>
      <c r="D47" s="24">
        <v>0</v>
      </c>
      <c r="E47" s="24">
        <f>Comida214557698193105117129141153[[#This Row],[COSTO PREVISTO]]-Comida214557698193105117129141153[[#This Row],[COSTO REAL]]</f>
        <v>0</v>
      </c>
      <c r="F47" s="9"/>
      <c r="G47" s="41"/>
      <c r="H47" s="41"/>
      <c r="I47" s="41"/>
      <c r="J47" s="41"/>
    </row>
    <row r="48" spans="1:10" ht="24.95" customHeight="1">
      <c r="B48" s="25" t="s">
        <v>19</v>
      </c>
      <c r="C48" s="26">
        <f>SUBTOTAL(109,Comida214557698193105117129141153[COSTO PREVISTO])</f>
        <v>0</v>
      </c>
      <c r="D48" s="26">
        <f>SUBTOTAL(109,Comida214557698193105117129141153[COSTO REAL])</f>
        <v>0</v>
      </c>
      <c r="E48" s="26">
        <f>SUBTOTAL(109,Comida214557698193105117129141153[DIFERENCIA])</f>
        <v>0</v>
      </c>
      <c r="F48" s="9"/>
      <c r="G48" s="21" t="s">
        <v>79</v>
      </c>
      <c r="H48" s="21" t="s">
        <v>76</v>
      </c>
      <c r="I48" s="21" t="s">
        <v>80</v>
      </c>
      <c r="J48" s="21" t="s">
        <v>77</v>
      </c>
    </row>
    <row r="49" spans="1:10" ht="24.95" customHeight="1">
      <c r="B49" s="41"/>
      <c r="C49" s="41"/>
      <c r="D49" s="41"/>
      <c r="E49" s="41"/>
      <c r="F49" s="9"/>
      <c r="G49" s="23" t="s">
        <v>85</v>
      </c>
      <c r="H49" s="24">
        <v>0</v>
      </c>
      <c r="I49" s="24">
        <v>0</v>
      </c>
      <c r="J49" s="24">
        <f>Regalos224658708294106118130142154[[#This Row],[COSTO PREVISTO]]-Regalos224658708294106118130142154[[#This Row],[COSTO REAL ]]</f>
        <v>0</v>
      </c>
    </row>
    <row r="50" spans="1:10" ht="24.95" customHeight="1">
      <c r="A50" s="4" t="s">
        <v>11</v>
      </c>
      <c r="B50" s="21" t="s">
        <v>31</v>
      </c>
      <c r="C50" s="21" t="s">
        <v>76</v>
      </c>
      <c r="D50" s="21" t="s">
        <v>75</v>
      </c>
      <c r="E50" s="21" t="s">
        <v>77</v>
      </c>
      <c r="F50" s="9"/>
      <c r="G50" s="23" t="s">
        <v>84</v>
      </c>
      <c r="H50" s="24">
        <v>0</v>
      </c>
      <c r="I50" s="24">
        <v>0</v>
      </c>
      <c r="J50" s="24">
        <f>Regalos224658708294106118130142154[[#This Row],[COSTO PREVISTO]]-Regalos224658708294106118130142154[[#This Row],[COSTO REAL ]]</f>
        <v>0</v>
      </c>
    </row>
    <row r="51" spans="1:10" ht="24.95" customHeight="1">
      <c r="B51" s="23" t="s">
        <v>32</v>
      </c>
      <c r="C51" s="24">
        <v>0</v>
      </c>
      <c r="D51" s="24">
        <v>0</v>
      </c>
      <c r="E51" s="24">
        <f>Mascotas234759718395107119131143155[[#This Row],[COSTO PREVISTO]]-Mascotas234759718395107119131143155[[#This Row],[COSTO REAL]]</f>
        <v>0</v>
      </c>
      <c r="F51" s="9"/>
      <c r="G51" s="23" t="s">
        <v>63</v>
      </c>
      <c r="H51" s="24">
        <v>0</v>
      </c>
      <c r="I51" s="24">
        <v>0</v>
      </c>
      <c r="J51" s="24">
        <f>Regalos224658708294106118130142154[[#This Row],[COSTO PREVISTO]]-Regalos224658708294106118130142154[[#This Row],[COSTO REAL ]]</f>
        <v>0</v>
      </c>
    </row>
    <row r="52" spans="1:10" ht="24.95" customHeight="1">
      <c r="B52" s="23" t="s">
        <v>33</v>
      </c>
      <c r="C52" s="24">
        <v>0</v>
      </c>
      <c r="D52" s="24">
        <v>0</v>
      </c>
      <c r="E52" s="24">
        <f>Mascotas234759718395107119131143155[[#This Row],[COSTO PREVISTO]]-Mascotas234759718395107119131143155[[#This Row],[COSTO REAL]]</f>
        <v>0</v>
      </c>
      <c r="F52" s="9"/>
      <c r="G52" s="25" t="s">
        <v>19</v>
      </c>
      <c r="H52" s="27">
        <f>SUBTOTAL(109,Regalos224658708294106118130142154[COSTO PREVISTO])</f>
        <v>0</v>
      </c>
      <c r="I52" s="27" t="s">
        <v>66</v>
      </c>
      <c r="J52" s="26">
        <f>SUBTOTAL(109,Regalos224658708294106118130142154[DIFERENCIA])</f>
        <v>0</v>
      </c>
    </row>
    <row r="53" spans="1:10" ht="24.95" customHeight="1">
      <c r="B53" s="23" t="s">
        <v>34</v>
      </c>
      <c r="C53" s="24">
        <v>0</v>
      </c>
      <c r="D53" s="24">
        <v>0</v>
      </c>
      <c r="E53" s="24">
        <f>Mascotas234759718395107119131143155[[#This Row],[COSTO PREVISTO]]-Mascotas234759718395107119131143155[[#This Row],[COSTO REAL]]</f>
        <v>0</v>
      </c>
      <c r="F53" s="9"/>
      <c r="G53" s="41"/>
      <c r="H53" s="41"/>
      <c r="I53" s="41"/>
      <c r="J53" s="41"/>
    </row>
    <row r="54" spans="1:10" ht="24.95" customHeight="1">
      <c r="B54" s="23" t="s">
        <v>35</v>
      </c>
      <c r="C54" s="24">
        <v>0</v>
      </c>
      <c r="D54" s="24">
        <v>0</v>
      </c>
      <c r="E54" s="24">
        <f>Mascotas234759718395107119131143155[[#This Row],[COSTO PREVISTO]]-Mascotas234759718395107119131143155[[#This Row],[COSTO REAL]]</f>
        <v>0</v>
      </c>
      <c r="F54" s="9"/>
      <c r="G54" s="21" t="s">
        <v>59</v>
      </c>
      <c r="H54" s="21" t="s">
        <v>76</v>
      </c>
      <c r="I54" s="21" t="s">
        <v>75</v>
      </c>
      <c r="J54" s="21" t="s">
        <v>77</v>
      </c>
    </row>
    <row r="55" spans="1:10" ht="24.95" customHeight="1">
      <c r="B55" s="23" t="s">
        <v>18</v>
      </c>
      <c r="C55" s="24">
        <v>0</v>
      </c>
      <c r="D55" s="24">
        <v>0</v>
      </c>
      <c r="E55" s="24">
        <f>Mascotas234759718395107119131143155[[#This Row],[COSTO PREVISTO]]-Mascotas234759718395107119131143155[[#This Row],[COSTO REAL]]</f>
        <v>0</v>
      </c>
      <c r="F55" s="9"/>
      <c r="G55" s="23" t="s">
        <v>60</v>
      </c>
      <c r="H55" s="24">
        <v>0</v>
      </c>
      <c r="I55" s="24">
        <v>0</v>
      </c>
      <c r="J55" s="24">
        <f>Legal244860728496108120132144156[[#This Row],[COSTO PREVISTO]]-Legal244860728496108120132144156[[#This Row],[COSTO REAL]]</f>
        <v>0</v>
      </c>
    </row>
    <row r="56" spans="1:10" ht="24.95" customHeight="1">
      <c r="B56" s="25" t="s">
        <v>19</v>
      </c>
      <c r="C56" s="26">
        <f>SUBTOTAL(109,Mascotas234759718395107119131143155[COSTO PREVISTO])</f>
        <v>0</v>
      </c>
      <c r="D56" s="26">
        <f>SUBTOTAL(109,Mascotas234759718395107119131143155[COSTO REAL])</f>
        <v>0</v>
      </c>
      <c r="E56" s="26">
        <f>SUBTOTAL(109,Mascotas234759718395107119131143155[DIFERENCIA])</f>
        <v>0</v>
      </c>
      <c r="F56" s="9"/>
      <c r="G56" s="23" t="s">
        <v>86</v>
      </c>
      <c r="H56" s="24">
        <v>0</v>
      </c>
      <c r="I56" s="24">
        <v>0</v>
      </c>
      <c r="J56" s="24">
        <f>Legal244860728496108120132144156[[#This Row],[COSTO PREVISTO]]-Legal244860728496108120132144156[[#This Row],[COSTO REAL]]</f>
        <v>0</v>
      </c>
    </row>
    <row r="57" spans="1:10" ht="24.95" customHeight="1">
      <c r="B57" s="41"/>
      <c r="C57" s="41"/>
      <c r="D57" s="41"/>
      <c r="E57" s="41"/>
      <c r="F57" s="9"/>
      <c r="G57" s="23" t="s">
        <v>87</v>
      </c>
      <c r="H57" s="24">
        <v>0</v>
      </c>
      <c r="I57" s="24">
        <v>0</v>
      </c>
      <c r="J57" s="24">
        <f>Legal244860728496108120132144156[[#This Row],[COSTO PREVISTO]]-Legal244860728496108120132144156[[#This Row],[COSTO REAL]]</f>
        <v>0</v>
      </c>
    </row>
    <row r="58" spans="1:10" ht="24.95" customHeight="1">
      <c r="A58" s="4" t="s">
        <v>12</v>
      </c>
      <c r="B58" s="21" t="s">
        <v>36</v>
      </c>
      <c r="C58" s="21" t="s">
        <v>40</v>
      </c>
      <c r="D58" s="21" t="s">
        <v>42</v>
      </c>
      <c r="E58" s="21" t="s">
        <v>43</v>
      </c>
      <c r="F58" s="9"/>
      <c r="G58" s="23" t="s">
        <v>18</v>
      </c>
      <c r="H58" s="24">
        <v>0</v>
      </c>
      <c r="I58" s="24">
        <v>0</v>
      </c>
      <c r="J58" s="24">
        <f>Legal244860728496108120132144156[[#This Row],[COSTO PREVISTO]]-Legal244860728496108120132144156[[#This Row],[COSTO REAL]]</f>
        <v>0</v>
      </c>
    </row>
    <row r="59" spans="1:10" ht="24.95" customHeight="1">
      <c r="B59" s="23" t="s">
        <v>33</v>
      </c>
      <c r="C59" s="24">
        <v>0</v>
      </c>
      <c r="D59" s="24">
        <v>0</v>
      </c>
      <c r="E59" s="24">
        <f>CuidadoPersonal254961738597109121133145157[[#This Row],[Costo previsto]]-CuidadoPersonal254961738597109121133145157[[#This Row],[Coste real]]</f>
        <v>0</v>
      </c>
      <c r="F59" s="9"/>
      <c r="G59" s="25" t="s">
        <v>19</v>
      </c>
      <c r="H59" s="27" t="s">
        <v>66</v>
      </c>
      <c r="I59" s="27" t="s">
        <v>66</v>
      </c>
      <c r="J59" s="26">
        <f>SUBTOTAL(109,Legal244860728496108120132144156[DIFERENCIA])</f>
        <v>0</v>
      </c>
    </row>
    <row r="60" spans="1:10" ht="24.95" customHeight="1">
      <c r="B60" s="23" t="s">
        <v>95</v>
      </c>
      <c r="C60" s="24">
        <v>0</v>
      </c>
      <c r="D60" s="24">
        <v>0</v>
      </c>
      <c r="E60" s="24">
        <f>CuidadoPersonal254961738597109121133145157[[#This Row],[Costo previsto]]-CuidadoPersonal254961738597109121133145157[[#This Row],[Coste real]]</f>
        <v>0</v>
      </c>
      <c r="F60" s="9"/>
      <c r="G60" s="41"/>
      <c r="H60" s="41"/>
      <c r="I60" s="41"/>
      <c r="J60" s="41"/>
    </row>
    <row r="61" spans="1:10" ht="24.95" customHeight="1">
      <c r="A61" s="4" t="s">
        <v>13</v>
      </c>
      <c r="B61" s="23" t="s">
        <v>37</v>
      </c>
      <c r="C61" s="24">
        <v>0</v>
      </c>
      <c r="D61" s="24">
        <v>0</v>
      </c>
      <c r="E61" s="24">
        <f>CuidadoPersonal254961738597109121133145157[[#This Row],[Costo previsto]]-CuidadoPersonal254961738597109121133145157[[#This Row],[Coste real]]</f>
        <v>0</v>
      </c>
      <c r="F61" s="9"/>
      <c r="G61" s="35" t="s">
        <v>89</v>
      </c>
      <c r="H61" s="35"/>
      <c r="I61" s="35"/>
      <c r="J61" s="40">
        <f>SUBTOTAL(109,Alojamiento14385062748698110122134146[COSTO PREVISTO],Transporte174153657789101113125137149[Costo previsto],Seguro184254667890102114126138150[COSTO PREVISTO],Comida214557698193105117129141153[COSTO PREVISTO],Mascotas234759718395107119131143155[COSTO PREVISTO],CuidadoPersonal254961738597109121133145157[Costo previsto],Entretenimiento15395163758799111123135147[COSTO PREVISTO],Prestamos164052647688100112124136148[COSTO PREVISTO],Impuestos194355677991103115127139151[COSTO PREVISTO],Ahorros204456688092104116128140152[COSTO PREVISTO],Regalos224658708294106118130142154[COSTO PREVISTO],Legal244860728496108120132144156[COSTO PREVISTO])</f>
        <v>0</v>
      </c>
    </row>
    <row r="62" spans="1:10" ht="24.95" customHeight="1">
      <c r="B62" s="23" t="s">
        <v>38</v>
      </c>
      <c r="C62" s="24">
        <v>0</v>
      </c>
      <c r="D62" s="24">
        <v>0</v>
      </c>
      <c r="E62" s="24">
        <f>CuidadoPersonal254961738597109121133145157[[#This Row],[Costo previsto]]-CuidadoPersonal254961738597109121133145157[[#This Row],[Coste real]]</f>
        <v>0</v>
      </c>
      <c r="F62" s="9"/>
      <c r="G62" s="35"/>
      <c r="H62" s="35"/>
      <c r="I62" s="35"/>
      <c r="J62" s="40"/>
    </row>
    <row r="63" spans="1:10" ht="24.95" customHeight="1">
      <c r="B63" s="23" t="s">
        <v>39</v>
      </c>
      <c r="C63" s="24">
        <v>0</v>
      </c>
      <c r="D63" s="24">
        <v>0</v>
      </c>
      <c r="E63" s="24">
        <f>CuidadoPersonal254961738597109121133145157[[#This Row],[Costo previsto]]-CuidadoPersonal254961738597109121133145157[[#This Row],[Coste real]]</f>
        <v>0</v>
      </c>
      <c r="F63" s="9"/>
      <c r="G63" s="35" t="s">
        <v>90</v>
      </c>
      <c r="H63" s="35"/>
      <c r="I63" s="35"/>
      <c r="J63" s="40">
        <f>SUBTOTAL(109,Alojamiento14385062748698110122134146[COSTO REAL],Transporte174153657789101113125137149[Costo real],Seguro184254667890102114126138150[COSTO REAL],Comida214557698193105117129141153[COSTO REAL],Mascotas234759718395107119131143155[COSTO REAL],CuidadoPersonal254961738597109121133145157[Coste real],Entretenimiento15395163758799111123135147[COSTO REAL],Prestamos164052647688100112124136148[COSTO REAL],Impuestos194355677991103115127139151[COSTO REAL],Ahorros204456688092104116128140152[COSTO REAL],Regalos224658708294106118130142154[[COSTO REAL ]],Legal244860728496108120132144156[COSTO REAL])</f>
        <v>0</v>
      </c>
    </row>
    <row r="64" spans="1:10" ht="24.95" customHeight="1">
      <c r="B64" s="23" t="s">
        <v>88</v>
      </c>
      <c r="C64" s="24">
        <v>0</v>
      </c>
      <c r="D64" s="24">
        <v>0</v>
      </c>
      <c r="E64" s="24">
        <f>CuidadoPersonal254961738597109121133145157[[#This Row],[Costo previsto]]-CuidadoPersonal254961738597109121133145157[[#This Row],[Coste real]]</f>
        <v>0</v>
      </c>
      <c r="F64" s="9"/>
      <c r="G64" s="35"/>
      <c r="H64" s="35"/>
      <c r="I64" s="35"/>
      <c r="J64" s="40"/>
    </row>
    <row r="65" spans="2:10" ht="24.95" customHeight="1">
      <c r="B65" s="23" t="s">
        <v>18</v>
      </c>
      <c r="C65" s="24">
        <v>0</v>
      </c>
      <c r="D65" s="24">
        <v>0</v>
      </c>
      <c r="E65" s="24">
        <f>CuidadoPersonal254961738597109121133145157[[#This Row],[Costo previsto]]-CuidadoPersonal254961738597109121133145157[[#This Row],[Coste real]]</f>
        <v>0</v>
      </c>
      <c r="F65" s="9"/>
      <c r="G65" s="35" t="s">
        <v>91</v>
      </c>
      <c r="H65" s="35"/>
      <c r="I65" s="35"/>
      <c r="J65" s="40">
        <f>J61-J63</f>
        <v>0</v>
      </c>
    </row>
    <row r="66" spans="2:10" ht="24.95" customHeight="1">
      <c r="B66" s="25" t="s">
        <v>19</v>
      </c>
      <c r="C66" s="26">
        <f>SUBTOTAL(109,CuidadoPersonal254961738597109121133145157[Costo previsto])</f>
        <v>0</v>
      </c>
      <c r="D66" s="26">
        <f>SUBTOTAL(109,CuidadoPersonal254961738597109121133145157[Coste real])</f>
        <v>0</v>
      </c>
      <c r="E66" s="26">
        <f>SUBTOTAL(109,CuidadoPersonal254961738597109121133145157[Diferencia])</f>
        <v>0</v>
      </c>
      <c r="F66" s="9"/>
      <c r="G66" s="35"/>
      <c r="H66" s="35"/>
      <c r="I66" s="35"/>
      <c r="J66" s="40"/>
    </row>
    <row r="67" spans="2:10">
      <c r="B67" s="42"/>
      <c r="C67" s="42"/>
      <c r="D67" s="42"/>
      <c r="E67" s="42"/>
    </row>
  </sheetData>
  <mergeCells count="26">
    <mergeCell ref="G63:I64"/>
    <mergeCell ref="J63:J64"/>
    <mergeCell ref="G65:I66"/>
    <mergeCell ref="J65:J66"/>
    <mergeCell ref="B67:E67"/>
    <mergeCell ref="G61:I62"/>
    <mergeCell ref="J61:J62"/>
    <mergeCell ref="G25:J25"/>
    <mergeCell ref="B26:E26"/>
    <mergeCell ref="G34:J34"/>
    <mergeCell ref="B36:E36"/>
    <mergeCell ref="G41:J41"/>
    <mergeCell ref="B43:E43"/>
    <mergeCell ref="G47:J47"/>
    <mergeCell ref="B49:E49"/>
    <mergeCell ref="G53:J53"/>
    <mergeCell ref="B57:E57"/>
    <mergeCell ref="G60:J60"/>
    <mergeCell ref="E8:G9"/>
    <mergeCell ref="H8:H9"/>
    <mergeCell ref="B9:C9"/>
    <mergeCell ref="B4:C4"/>
    <mergeCell ref="E4:G5"/>
    <mergeCell ref="H4:H5"/>
    <mergeCell ref="E6:G7"/>
    <mergeCell ref="H6:H7"/>
  </mergeCells>
  <dataValidations count="12">
    <dataValidation allowBlank="1" showInputMessage="1" showErrorMessage="1" prompt="El total de gastos previstos se calcula automáticamente en la celda J61; el total del gasto real, en la J63; y la diferencia total, en la celda J65." sqref="A61"/>
    <dataValidation allowBlank="1" showInputMessage="1" showErrorMessage="1" prompt="Escriba la información en la tabla Cuidado personal, empezando por la celda de la derecha y en la tabla Legal, empezando por la celda G54. La instrucción siguiente se encuentra en la celda A61." sqref="A58"/>
    <dataValidation allowBlank="1" showInputMessage="1" showErrorMessage="1" prompt="Escriba la información en la tabla Mascotas, empezando por la celda de la derecha y en la tabla Regalos, empezando por la celda G48. La instrucción siguiente se encuentra en la celda A58." sqref="A50"/>
    <dataValidation allowBlank="1" showInputMessage="1" showErrorMessage="1" prompt="Escriba la información en la tabla Comida, empezando por la celda de la derecha y en la tabla Ahorros, empezando por la celda G42. La instrucción siguiente se encuentra en la celda A50." sqref="A44"/>
    <dataValidation allowBlank="1" showInputMessage="1" showErrorMessage="1" prompt="Escriba la información en la tabla Seguro, empezando por la celda de la derecha y en la tabla Impuestos, empezando por la celda G35. La instrucción siguiente se encuentra en la celda A44." sqref="A37"/>
    <dataValidation allowBlank="1" showInputMessage="1" showErrorMessage="1" prompt="Escriba la información en la tabla Transporte, empezando por la celda de la derecha y en la tabla Préstamos, empezando por la celda G26. La instrucción siguiente se encuentra en la celda A37." sqref="A27"/>
    <dataValidation allowBlank="1" showInputMessage="1" showErrorMessage="1" prompt="Escriba la información en la tabla Alojamiento, empezando por la celda de la derecha y en la tabla Entretenimiento, empezando por la celda G14. La instrucción siguiente se encuentra en la celda A27." sqref="A14"/>
    <dataValidation allowBlank="1" showInputMessage="1" showErrorMessage="1" prompt="La etiqueta Ingresos mensuales reales está en la celda de la derecha. Escriba el Ingreso 1 en la celda C10 y el Ingreso adicional en la C11 para calcular el total de ingresos mensuales en la celda C12. La instrucción siguiente está en la celda A14." sqref="A9"/>
    <dataValidation allowBlank="1" showInputMessage="1" showErrorMessage="1" prompt="El saldo previsto se calcula automáticamente en la celda H4; el saldo real, en la H6; y la diferencia, en la celda H8. La instrucción siguiente se encuentra en la celda A9." sqref="A7"/>
    <dataValidation allowBlank="1" showInputMessage="1" showErrorMessage="1" prompt="La etiqueta Ingresos mensuales previstos está en la celda de la derecha. Escriba el Ingreso 1 en la celda C5 y el Ingreso adicional en la C6 para calcular el total de ingresos mensuales en la celda C7. La instrucción siguiente se encuentra en la celda A7." sqref="A4"/>
    <dataValidation allowBlank="1" showInputMessage="1" showErrorMessage="1" prompt="El título de esta hoja de cálculo está en la celda C2. La instrucción siguiente se encuentra en la celda A4." sqref="A2"/>
    <dataValidation allowBlank="1" showInputMessage="1" showErrorMessage="1" prompt="Cree un presupuesto mensual personal en esta hoja de cálculo. Encontrará instrucciones útiles sobre cómo usar este libro en las celdas de esta columna. Use la flecha hacia abajo para empezar." sqref="A1"/>
  </dataValidations>
  <pageMargins left="0.7" right="0.7" top="0.75" bottom="0.75" header="0.3" footer="0.3"/>
  <pageSetup paperSize="9" orientation="portrait" r:id="rId1"/>
  <drawing r:id="rId2"/>
  <tableParts count="12">
    <tablePart r:id="rId3"/>
    <tablePart r:id="rId4"/>
    <tablePart r:id="rId5"/>
    <tablePart r:id="rId6"/>
    <tablePart r:id="rId7"/>
    <tablePart r:id="rId8"/>
    <tablePart r:id="rId9"/>
    <tablePart r:id="rId10"/>
    <tablePart r:id="rId11"/>
    <tablePart r:id="rId12"/>
    <tablePart r:id="rId13"/>
    <tablePart r:id="rId1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1" ma:contentTypeDescription="Create a new document." ma:contentTypeScope="" ma:versionID="1c2eb7a32e66fb6e4260f3771546a5e2">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04e1f6479c48b08974ba73b5ca973489"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MediaServiceKeyPoints xmlns="71af3243-3dd4-4a8d-8c0d-dd76da1f02a5" xsi:nil="true"/>
  </documentManagement>
</p:properties>
</file>

<file path=customXml/itemProps1.xml><?xml version="1.0" encoding="utf-8"?>
<ds:datastoreItem xmlns:ds="http://schemas.openxmlformats.org/officeDocument/2006/customXml" ds:itemID="{EB46AF36-0E29-43D5-9042-907F679B35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af3243-3dd4-4a8d-8c0d-dd76da1f02a5"/>
    <ds:schemaRef ds:uri="16c05727-aa75-4e4a-9b5f-8a80a11658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4E4917D-B4E2-41EC-A344-CAB929C318ED}">
  <ds:schemaRefs>
    <ds:schemaRef ds:uri="http://schemas.microsoft.com/office/2006/documentManagement/types"/>
    <ds:schemaRef ds:uri="http://schemas.microsoft.com/office/2006/metadata/properties"/>
    <ds:schemaRef ds:uri="http://purl.org/dc/terms/"/>
    <ds:schemaRef ds:uri="http://schemas.openxmlformats.org/package/2006/metadata/core-properties"/>
    <ds:schemaRef ds:uri="16c05727-aa75-4e4a-9b5f-8a80a1165891"/>
    <ds:schemaRef ds:uri="http://purl.org/dc/dcmitype/"/>
    <ds:schemaRef ds:uri="http://schemas.microsoft.com/office/infopath/2007/PartnerControls"/>
    <ds:schemaRef ds:uri="71af3243-3dd4-4a8d-8c0d-dd76da1f02a5"/>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INFO</vt:lpstr>
      <vt:lpstr>ENERO</vt:lpstr>
      <vt:lpstr>FEBRERO</vt:lpstr>
      <vt:lpstr>MARZO</vt:lpstr>
      <vt:lpstr>ABRIL</vt:lpstr>
      <vt:lpstr>MAYO</vt:lpstr>
      <vt:lpstr>JUNIO</vt:lpstr>
      <vt:lpstr>JULIO</vt:lpstr>
      <vt:lpstr>AGOSTO</vt:lpstr>
      <vt:lpstr>SEPTIEMBRE</vt:lpstr>
      <vt:lpstr>OCTUBRE</vt:lpstr>
      <vt:lpstr>NOVIEMBRE</vt:lpstr>
      <vt:lpstr>DICIEMBRE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2019-07-12T07:01:03Z</dcterms:created>
  <dcterms:modified xsi:type="dcterms:W3CDTF">2026-02-16T07:17:45Z</dcterms:modified>
</cp:coreProperties>
</file>